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42"/>
  </bookViews>
  <sheets>
    <sheet name="035_Sicepat_Batam" sheetId="2" r:id="rId1"/>
    <sheet name="402155" sheetId="26" r:id="rId2"/>
    <sheet name="402157" sheetId="57" r:id="rId3"/>
    <sheet name="405780" sheetId="58" r:id="rId4"/>
    <sheet name="402162" sheetId="59" r:id="rId5"/>
    <sheet name="402164" sheetId="60" r:id="rId6"/>
    <sheet name="402166" sheetId="61" r:id="rId7"/>
    <sheet name="402169" sheetId="62" r:id="rId8"/>
    <sheet name="402171" sheetId="63" r:id="rId9"/>
    <sheet name="402173" sheetId="64" r:id="rId10"/>
    <sheet name="402175" sheetId="65" r:id="rId11"/>
    <sheet name="402177" sheetId="66" r:id="rId12"/>
    <sheet name="402179" sheetId="67" r:id="rId13"/>
    <sheet name="402181" sheetId="68" r:id="rId14"/>
    <sheet name="402183" sheetId="69" r:id="rId15"/>
    <sheet name="402186" sheetId="70" r:id="rId16"/>
    <sheet name="402188" sheetId="71" r:id="rId17"/>
    <sheet name="402191" sheetId="72" r:id="rId18"/>
    <sheet name="402195" sheetId="73" r:id="rId19"/>
    <sheet name="402198" sheetId="74" r:id="rId20"/>
    <sheet name="402199" sheetId="75" r:id="rId21"/>
    <sheet name="402230" sheetId="76" r:id="rId22"/>
    <sheet name="402232" sheetId="77" r:id="rId23"/>
    <sheet name="403901" sheetId="78" r:id="rId24"/>
    <sheet name="403904" sheetId="79" r:id="rId25"/>
    <sheet name="402234" sheetId="80" r:id="rId26"/>
    <sheet name="402236" sheetId="81" r:id="rId27"/>
    <sheet name="402238" sheetId="83" r:id="rId28"/>
    <sheet name="403909" sheetId="84" r:id="rId29"/>
    <sheet name="402302" sheetId="85" r:id="rId30"/>
    <sheet name="403914" sheetId="86" r:id="rId31"/>
    <sheet name="401487" sheetId="87" r:id="rId32"/>
    <sheet name="403916" sheetId="88" r:id="rId33"/>
    <sheet name="401490" sheetId="89" r:id="rId34"/>
    <sheet name="403918" sheetId="90" r:id="rId35"/>
    <sheet name="401492" sheetId="91" r:id="rId36"/>
    <sheet name="403920" sheetId="92" r:id="rId37"/>
    <sheet name="401495" sheetId="93" r:id="rId38"/>
    <sheet name="403922" sheetId="94" r:id="rId39"/>
    <sheet name="401498" sheetId="95" r:id="rId40"/>
    <sheet name="403926" sheetId="96" r:id="rId41"/>
    <sheet name="402247" sheetId="97" r:id="rId42"/>
    <sheet name="403928" sheetId="98" r:id="rId43"/>
    <sheet name="402422" sheetId="99" r:id="rId44"/>
    <sheet name="402426" sheetId="100" r:id="rId45"/>
    <sheet name="403930" sheetId="101" r:id="rId46"/>
    <sheet name="402432" sheetId="102" r:id="rId47"/>
    <sheet name="404002" sheetId="103" r:id="rId48"/>
    <sheet name="402440" sheetId="104" r:id="rId49"/>
    <sheet name="403932" sheetId="105" r:id="rId50"/>
    <sheet name="402304" sheetId="106" r:id="rId51"/>
    <sheet name="404004" sheetId="107" r:id="rId52"/>
    <sheet name="402310" sheetId="108" r:id="rId53"/>
    <sheet name="404006" sheetId="109" r:id="rId54"/>
    <sheet name="402314" sheetId="110" r:id="rId55"/>
  </sheets>
  <definedNames>
    <definedName name="_xlnm.Print_Titles" localSheetId="0">'035_Sicepat_Batam'!$2:$17</definedName>
    <definedName name="_xlnm.Print_Titles" localSheetId="31">'401487'!$2:$2</definedName>
    <definedName name="_xlnm.Print_Titles" localSheetId="33">'401490'!$2:$2</definedName>
    <definedName name="_xlnm.Print_Titles" localSheetId="35">'401492'!$2:$2</definedName>
    <definedName name="_xlnm.Print_Titles" localSheetId="37">'401495'!$2:$2</definedName>
    <definedName name="_xlnm.Print_Titles" localSheetId="39">'401498'!$2:$2</definedName>
    <definedName name="_xlnm.Print_Titles" localSheetId="1">'402155'!$2:$2</definedName>
    <definedName name="_xlnm.Print_Titles" localSheetId="2">'402157'!$2:$2</definedName>
    <definedName name="_xlnm.Print_Titles" localSheetId="4">'402162'!$2:$2</definedName>
    <definedName name="_xlnm.Print_Titles" localSheetId="5">'402164'!$2:$2</definedName>
    <definedName name="_xlnm.Print_Titles" localSheetId="6">'402166'!$2:$2</definedName>
    <definedName name="_xlnm.Print_Titles" localSheetId="7">'402169'!$2:$2</definedName>
    <definedName name="_xlnm.Print_Titles" localSheetId="8">'402171'!$2:$2</definedName>
    <definedName name="_xlnm.Print_Titles" localSheetId="9">'402173'!$2:$2</definedName>
    <definedName name="_xlnm.Print_Titles" localSheetId="10">'402175'!$2:$2</definedName>
    <definedName name="_xlnm.Print_Titles" localSheetId="11">'402177'!$2:$2</definedName>
    <definedName name="_xlnm.Print_Titles" localSheetId="12">'402179'!$2:$2</definedName>
    <definedName name="_xlnm.Print_Titles" localSheetId="13">'402181'!$2:$2</definedName>
    <definedName name="_xlnm.Print_Titles" localSheetId="14">'402183'!$2:$2</definedName>
    <definedName name="_xlnm.Print_Titles" localSheetId="15">'402186'!$2:$2</definedName>
    <definedName name="_xlnm.Print_Titles" localSheetId="16">'402188'!$2:$2</definedName>
    <definedName name="_xlnm.Print_Titles" localSheetId="17">'402191'!$2:$2</definedName>
    <definedName name="_xlnm.Print_Titles" localSheetId="18">'402195'!$2:$2</definedName>
    <definedName name="_xlnm.Print_Titles" localSheetId="19">'402198'!$2:$2</definedName>
    <definedName name="_xlnm.Print_Titles" localSheetId="20">'402199'!$2:$2</definedName>
    <definedName name="_xlnm.Print_Titles" localSheetId="21">'402230'!$2:$2</definedName>
    <definedName name="_xlnm.Print_Titles" localSheetId="22">'402232'!$2:$2</definedName>
    <definedName name="_xlnm.Print_Titles" localSheetId="25">'402234'!$2:$2</definedName>
    <definedName name="_xlnm.Print_Titles" localSheetId="26">'402236'!$2:$2</definedName>
    <definedName name="_xlnm.Print_Titles" localSheetId="27">'402238'!$2:$2</definedName>
    <definedName name="_xlnm.Print_Titles" localSheetId="41">'402247'!$2:$2</definedName>
    <definedName name="_xlnm.Print_Titles" localSheetId="29">'402302'!$2:$2</definedName>
    <definedName name="_xlnm.Print_Titles" localSheetId="50">'402304'!$2:$2</definedName>
    <definedName name="_xlnm.Print_Titles" localSheetId="52">'402310'!$2:$2</definedName>
    <definedName name="_xlnm.Print_Titles" localSheetId="54">'402314'!$2:$2</definedName>
    <definedName name="_xlnm.Print_Titles" localSheetId="43">'402422'!$2:$2</definedName>
    <definedName name="_xlnm.Print_Titles" localSheetId="44">'402426'!$2:$2</definedName>
    <definedName name="_xlnm.Print_Titles" localSheetId="46">'402432'!$2:$2</definedName>
    <definedName name="_xlnm.Print_Titles" localSheetId="48">'402440'!$2:$2</definedName>
    <definedName name="_xlnm.Print_Titles" localSheetId="23">'403901'!$2:$2</definedName>
    <definedName name="_xlnm.Print_Titles" localSheetId="24">'403904'!$2:$2</definedName>
    <definedName name="_xlnm.Print_Titles" localSheetId="28">'403909'!$2:$2</definedName>
    <definedName name="_xlnm.Print_Titles" localSheetId="30">'403914'!$2:$2</definedName>
    <definedName name="_xlnm.Print_Titles" localSheetId="32">'403916'!$2:$2</definedName>
    <definedName name="_xlnm.Print_Titles" localSheetId="34">'403918'!$2:$2</definedName>
    <definedName name="_xlnm.Print_Titles" localSheetId="36">'403920'!$2:$2</definedName>
    <definedName name="_xlnm.Print_Titles" localSheetId="38">'403922'!$2:$2</definedName>
    <definedName name="_xlnm.Print_Titles" localSheetId="40">'403926'!$2:$2</definedName>
    <definedName name="_xlnm.Print_Titles" localSheetId="42">'403928'!$2:$2</definedName>
    <definedName name="_xlnm.Print_Titles" localSheetId="45">'403930'!$2:$2</definedName>
    <definedName name="_xlnm.Print_Titles" localSheetId="49">'403932'!$2:$2</definedName>
    <definedName name="_xlnm.Print_Titles" localSheetId="47">'404002'!$2:$2</definedName>
    <definedName name="_xlnm.Print_Titles" localSheetId="51">'404004'!$2:$2</definedName>
    <definedName name="_xlnm.Print_Titles" localSheetId="53">'404006'!$2:$2</definedName>
    <definedName name="_xlnm.Print_Titles" localSheetId="3">'405780'!$2:$2</definedName>
  </definedNames>
  <calcPr calcId="162913"/>
</workbook>
</file>

<file path=xl/calcChain.xml><?xml version="1.0" encoding="utf-8"?>
<calcChain xmlns="http://schemas.openxmlformats.org/spreadsheetml/2006/main">
  <c r="J72" i="2" l="1"/>
  <c r="O32" i="110" l="1"/>
  <c r="O4" i="109"/>
  <c r="O28" i="108"/>
  <c r="O4" i="107"/>
  <c r="O34" i="106"/>
  <c r="O7" i="105"/>
  <c r="O27" i="104"/>
  <c r="O7" i="103"/>
  <c r="O18" i="102"/>
  <c r="O5" i="101"/>
  <c r="O7" i="100"/>
  <c r="O18" i="99"/>
  <c r="O9" i="98"/>
  <c r="O10" i="97"/>
  <c r="O24" i="95"/>
  <c r="O36" i="93"/>
  <c r="O6" i="92"/>
  <c r="O27" i="91"/>
  <c r="O5" i="90"/>
  <c r="O21" i="89"/>
  <c r="O7" i="88"/>
  <c r="O29" i="87"/>
  <c r="O32" i="85"/>
  <c r="O6" i="84"/>
  <c r="O12" i="83"/>
  <c r="O12" i="81"/>
  <c r="O30" i="80"/>
  <c r="O6" i="79"/>
  <c r="O7" i="78"/>
  <c r="O48" i="77"/>
  <c r="O22" i="76"/>
  <c r="O28" i="75"/>
  <c r="O7" i="74"/>
  <c r="O18" i="73"/>
  <c r="O29" i="72"/>
  <c r="O13" i="71"/>
  <c r="O30" i="70"/>
  <c r="O28" i="69"/>
  <c r="O11" i="68"/>
  <c r="O21" i="67"/>
  <c r="O5" i="66"/>
  <c r="O21" i="65"/>
  <c r="O5" i="64"/>
  <c r="O42" i="63"/>
  <c r="O26" i="62"/>
  <c r="O8" i="60" l="1"/>
  <c r="O21" i="59"/>
  <c r="O8" i="58"/>
  <c r="P35" i="57"/>
  <c r="O30" i="57"/>
  <c r="M23" i="26"/>
  <c r="P23" i="26"/>
  <c r="A20" i="2" l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70" i="2"/>
  <c r="J71" i="2"/>
  <c r="G64" i="2"/>
  <c r="N34" i="106"/>
  <c r="N4" i="94"/>
  <c r="N12" i="81" l="1"/>
  <c r="P11" i="81"/>
  <c r="P10" i="81"/>
  <c r="G26" i="2" l="1"/>
  <c r="B26" i="2"/>
  <c r="C26" i="2"/>
  <c r="G71" i="2"/>
  <c r="C71" i="2"/>
  <c r="B71" i="2"/>
  <c r="G70" i="2"/>
  <c r="C70" i="2"/>
  <c r="B70" i="2"/>
  <c r="C69" i="2"/>
  <c r="B69" i="2"/>
  <c r="G68" i="2"/>
  <c r="C68" i="2"/>
  <c r="B68" i="2"/>
  <c r="G67" i="2"/>
  <c r="C67" i="2"/>
  <c r="B67" i="2"/>
  <c r="G66" i="2"/>
  <c r="C66" i="2"/>
  <c r="B66" i="2"/>
  <c r="G65" i="2"/>
  <c r="C65" i="2"/>
  <c r="B65" i="2"/>
  <c r="B64" i="2"/>
  <c r="C64" i="2"/>
  <c r="G63" i="2"/>
  <c r="C63" i="2"/>
  <c r="B63" i="2"/>
  <c r="G62" i="2"/>
  <c r="C62" i="2"/>
  <c r="B62" i="2"/>
  <c r="G61" i="2"/>
  <c r="C61" i="2"/>
  <c r="B61" i="2"/>
  <c r="G60" i="2"/>
  <c r="C60" i="2"/>
  <c r="B60" i="2"/>
  <c r="G59" i="2"/>
  <c r="C59" i="2"/>
  <c r="B59" i="2"/>
  <c r="G58" i="2"/>
  <c r="C58" i="2"/>
  <c r="B58" i="2"/>
  <c r="G57" i="2"/>
  <c r="C57" i="2"/>
  <c r="B57" i="2"/>
  <c r="G56" i="2"/>
  <c r="C56" i="2"/>
  <c r="B56" i="2"/>
  <c r="C55" i="2"/>
  <c r="B55" i="2"/>
  <c r="G54" i="2"/>
  <c r="C54" i="2"/>
  <c r="B54" i="2"/>
  <c r="G53" i="2"/>
  <c r="C53" i="2"/>
  <c r="B53" i="2"/>
  <c r="G52" i="2"/>
  <c r="C52" i="2"/>
  <c r="B52" i="2"/>
  <c r="G51" i="2" l="1"/>
  <c r="C51" i="2"/>
  <c r="B51" i="2"/>
  <c r="G50" i="2"/>
  <c r="C50" i="2"/>
  <c r="B50" i="2"/>
  <c r="N32" i="110" l="1"/>
  <c r="M32" i="110"/>
  <c r="P31" i="110"/>
  <c r="P30" i="110"/>
  <c r="P29" i="110"/>
  <c r="P28" i="110"/>
  <c r="P27" i="110"/>
  <c r="P26" i="110"/>
  <c r="P25" i="110"/>
  <c r="P24" i="110"/>
  <c r="P23" i="110"/>
  <c r="P22" i="110"/>
  <c r="P21" i="110"/>
  <c r="P20" i="110"/>
  <c r="P19" i="110"/>
  <c r="P18" i="110"/>
  <c r="P17" i="110"/>
  <c r="P16" i="110"/>
  <c r="P15" i="110"/>
  <c r="P14" i="110"/>
  <c r="P13" i="110"/>
  <c r="P12" i="110"/>
  <c r="P11" i="110"/>
  <c r="P10" i="110"/>
  <c r="P9" i="110"/>
  <c r="P8" i="110"/>
  <c r="P7" i="110"/>
  <c r="P6" i="110"/>
  <c r="P5" i="110"/>
  <c r="P4" i="110"/>
  <c r="P3" i="110"/>
  <c r="N4" i="109"/>
  <c r="M4" i="109"/>
  <c r="P3" i="109"/>
  <c r="P6" i="109" s="1"/>
  <c r="N27" i="104"/>
  <c r="N28" i="108"/>
  <c r="G69" i="2" s="1"/>
  <c r="J69" i="2" s="1"/>
  <c r="M28" i="108"/>
  <c r="P27" i="108"/>
  <c r="P26" i="108"/>
  <c r="P25" i="108"/>
  <c r="P24" i="108"/>
  <c r="P23" i="108"/>
  <c r="P22" i="108"/>
  <c r="P21" i="108"/>
  <c r="P20" i="108"/>
  <c r="P19" i="108"/>
  <c r="P18" i="108"/>
  <c r="P17" i="108"/>
  <c r="P16" i="108"/>
  <c r="P15" i="108"/>
  <c r="P14" i="108"/>
  <c r="P13" i="108"/>
  <c r="P12" i="108"/>
  <c r="P11" i="108"/>
  <c r="P10" i="108"/>
  <c r="P9" i="108"/>
  <c r="P8" i="108"/>
  <c r="P7" i="108"/>
  <c r="P6" i="108"/>
  <c r="P5" i="108"/>
  <c r="P4" i="108"/>
  <c r="P3" i="108"/>
  <c r="N4" i="107"/>
  <c r="M4" i="107"/>
  <c r="P3" i="107"/>
  <c r="P6" i="107" s="1"/>
  <c r="M34" i="106"/>
  <c r="P33" i="106"/>
  <c r="P32" i="106"/>
  <c r="P31" i="106"/>
  <c r="P30" i="106"/>
  <c r="P29" i="106"/>
  <c r="P28" i="106"/>
  <c r="P27" i="106"/>
  <c r="P26" i="106"/>
  <c r="P25" i="106"/>
  <c r="P24" i="106"/>
  <c r="P23" i="106"/>
  <c r="P22" i="106"/>
  <c r="P21" i="106"/>
  <c r="P20" i="106"/>
  <c r="P19" i="106"/>
  <c r="P18" i="106"/>
  <c r="P17" i="106"/>
  <c r="P16" i="106"/>
  <c r="P15" i="106"/>
  <c r="P14" i="106"/>
  <c r="P13" i="106"/>
  <c r="P12" i="106"/>
  <c r="P11" i="106"/>
  <c r="P10" i="106"/>
  <c r="P9" i="106"/>
  <c r="P8" i="106"/>
  <c r="P7" i="106"/>
  <c r="P6" i="106"/>
  <c r="P5" i="106"/>
  <c r="P4" i="106"/>
  <c r="P3" i="106"/>
  <c r="N7" i="105"/>
  <c r="M7" i="105"/>
  <c r="P6" i="105"/>
  <c r="P5" i="105"/>
  <c r="P4" i="105"/>
  <c r="P3" i="105"/>
  <c r="N7" i="100"/>
  <c r="M27" i="104"/>
  <c r="P26" i="104"/>
  <c r="P25" i="104"/>
  <c r="P24" i="104"/>
  <c r="P23" i="104"/>
  <c r="P22" i="104"/>
  <c r="P21" i="104"/>
  <c r="P20" i="104"/>
  <c r="P19" i="104"/>
  <c r="P18" i="104"/>
  <c r="P17" i="104"/>
  <c r="P16" i="104"/>
  <c r="P15" i="104"/>
  <c r="P14" i="104"/>
  <c r="P13" i="104"/>
  <c r="P12" i="104"/>
  <c r="P11" i="104"/>
  <c r="P10" i="104"/>
  <c r="P9" i="104"/>
  <c r="P8" i="104"/>
  <c r="P7" i="104"/>
  <c r="P6" i="104"/>
  <c r="P5" i="104"/>
  <c r="P4" i="104"/>
  <c r="P3" i="104"/>
  <c r="N7" i="103"/>
  <c r="M7" i="103"/>
  <c r="P6" i="103"/>
  <c r="P5" i="103"/>
  <c r="P4" i="103"/>
  <c r="P3" i="103"/>
  <c r="N18" i="102"/>
  <c r="M18" i="102"/>
  <c r="P17" i="102"/>
  <c r="P16" i="102"/>
  <c r="P15" i="102"/>
  <c r="P14" i="102"/>
  <c r="P13" i="102"/>
  <c r="P12" i="102"/>
  <c r="P11" i="102"/>
  <c r="P10" i="102"/>
  <c r="P9" i="102"/>
  <c r="P8" i="102"/>
  <c r="P7" i="102"/>
  <c r="P6" i="102"/>
  <c r="P5" i="102"/>
  <c r="P4" i="102"/>
  <c r="P3" i="102"/>
  <c r="P20" i="102" s="1"/>
  <c r="N5" i="101"/>
  <c r="M5" i="101"/>
  <c r="P4" i="101"/>
  <c r="P3" i="101"/>
  <c r="M7" i="100"/>
  <c r="P6" i="100"/>
  <c r="P5" i="100"/>
  <c r="P4" i="100"/>
  <c r="P3" i="100"/>
  <c r="N10" i="97"/>
  <c r="M10" i="97"/>
  <c r="N24" i="95"/>
  <c r="N18" i="99"/>
  <c r="M18" i="99"/>
  <c r="P17" i="99"/>
  <c r="P16" i="99"/>
  <c r="P15" i="99"/>
  <c r="P14" i="99"/>
  <c r="P13" i="99"/>
  <c r="P12" i="99"/>
  <c r="P11" i="99"/>
  <c r="P10" i="99"/>
  <c r="P9" i="99"/>
  <c r="P8" i="99"/>
  <c r="P7" i="99"/>
  <c r="P6" i="99"/>
  <c r="P5" i="99"/>
  <c r="P4" i="99"/>
  <c r="P3" i="99"/>
  <c r="N9" i="98"/>
  <c r="M9" i="98"/>
  <c r="P8" i="98"/>
  <c r="P7" i="98"/>
  <c r="P6" i="98"/>
  <c r="P5" i="98"/>
  <c r="P4" i="98"/>
  <c r="P3" i="98"/>
  <c r="P9" i="97"/>
  <c r="P8" i="97"/>
  <c r="P7" i="97"/>
  <c r="P6" i="97"/>
  <c r="P5" i="97"/>
  <c r="P4" i="97"/>
  <c r="P3" i="97"/>
  <c r="N5" i="96"/>
  <c r="M5" i="96"/>
  <c r="P4" i="96"/>
  <c r="P3" i="96"/>
  <c r="M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5" i="95"/>
  <c r="P4" i="95"/>
  <c r="P3" i="95"/>
  <c r="N6" i="92"/>
  <c r="N5" i="90"/>
  <c r="N6" i="84"/>
  <c r="N21" i="89"/>
  <c r="N7" i="88"/>
  <c r="G55" i="2"/>
  <c r="M4" i="94"/>
  <c r="P3" i="94"/>
  <c r="O4" i="94" s="1"/>
  <c r="P6" i="94" s="1"/>
  <c r="N36" i="93"/>
  <c r="M36" i="93"/>
  <c r="P35" i="93"/>
  <c r="P34" i="93"/>
  <c r="P33" i="93"/>
  <c r="P32" i="93"/>
  <c r="P31" i="93"/>
  <c r="P30" i="93"/>
  <c r="P29" i="93"/>
  <c r="P28" i="93"/>
  <c r="P27" i="93"/>
  <c r="P26" i="93"/>
  <c r="P25" i="93"/>
  <c r="P24" i="93"/>
  <c r="P23" i="93"/>
  <c r="P22" i="93"/>
  <c r="P21" i="93"/>
  <c r="P20" i="93"/>
  <c r="P19" i="93"/>
  <c r="P18" i="93"/>
  <c r="P17" i="93"/>
  <c r="P16" i="93"/>
  <c r="P15" i="93"/>
  <c r="P14" i="93"/>
  <c r="P13" i="93"/>
  <c r="P12" i="93"/>
  <c r="P11" i="93"/>
  <c r="P10" i="93"/>
  <c r="P9" i="93"/>
  <c r="P8" i="93"/>
  <c r="P7" i="93"/>
  <c r="P6" i="93"/>
  <c r="P5" i="93"/>
  <c r="P4" i="93"/>
  <c r="P3" i="93"/>
  <c r="M6" i="92"/>
  <c r="P5" i="92"/>
  <c r="P4" i="92"/>
  <c r="P3" i="92"/>
  <c r="P8" i="92" s="1"/>
  <c r="N27" i="91"/>
  <c r="M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4" i="91"/>
  <c r="P3" i="91"/>
  <c r="P29" i="91" s="1"/>
  <c r="M5" i="90"/>
  <c r="P4" i="90"/>
  <c r="P3" i="90"/>
  <c r="P7" i="90" s="1"/>
  <c r="M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N29" i="87"/>
  <c r="N30" i="80"/>
  <c r="N7" i="78"/>
  <c r="P34" i="110" l="1"/>
  <c r="P36" i="110" s="1"/>
  <c r="P30" i="108"/>
  <c r="P32" i="108" s="1"/>
  <c r="P8" i="109"/>
  <c r="P9" i="109" s="1"/>
  <c r="P7" i="109"/>
  <c r="P36" i="106"/>
  <c r="P38" i="106" s="1"/>
  <c r="P9" i="105"/>
  <c r="P10" i="105" s="1"/>
  <c r="P29" i="104"/>
  <c r="P30" i="104" s="1"/>
  <c r="P8" i="107"/>
  <c r="P7" i="107"/>
  <c r="P9" i="107" s="1"/>
  <c r="P9" i="103"/>
  <c r="P7" i="101"/>
  <c r="P9" i="101" s="1"/>
  <c r="P9" i="100"/>
  <c r="P10" i="100" s="1"/>
  <c r="P20" i="99"/>
  <c r="P21" i="99" s="1"/>
  <c r="P11" i="103"/>
  <c r="P10" i="103"/>
  <c r="P12" i="103" s="1"/>
  <c r="P22" i="102"/>
  <c r="P21" i="102"/>
  <c r="P8" i="101"/>
  <c r="P11" i="98"/>
  <c r="P13" i="98" s="1"/>
  <c r="P12" i="97"/>
  <c r="P13" i="97" s="1"/>
  <c r="O5" i="96"/>
  <c r="P7" i="96" s="1"/>
  <c r="P26" i="95"/>
  <c r="P28" i="95" s="1"/>
  <c r="P9" i="96"/>
  <c r="P8" i="96"/>
  <c r="P10" i="96" s="1"/>
  <c r="P38" i="93"/>
  <c r="P39" i="93" s="1"/>
  <c r="P23" i="89"/>
  <c r="P25" i="89" s="1"/>
  <c r="P8" i="94"/>
  <c r="P7" i="94"/>
  <c r="P9" i="94" s="1"/>
  <c r="P10" i="92"/>
  <c r="P9" i="92"/>
  <c r="P31" i="91"/>
  <c r="P30" i="91"/>
  <c r="P9" i="90"/>
  <c r="P8" i="90"/>
  <c r="P10" i="90" s="1"/>
  <c r="N22" i="76"/>
  <c r="N28" i="75"/>
  <c r="N7" i="74"/>
  <c r="N28" i="69"/>
  <c r="N11" i="68"/>
  <c r="N5" i="66"/>
  <c r="N7" i="61"/>
  <c r="N21" i="59"/>
  <c r="N8" i="58"/>
  <c r="P11" i="105" l="1"/>
  <c r="P12" i="105"/>
  <c r="P22" i="99"/>
  <c r="P11" i="92"/>
  <c r="P35" i="110"/>
  <c r="P37" i="110" s="1"/>
  <c r="P31" i="108"/>
  <c r="P33" i="108" s="1"/>
  <c r="P37" i="106"/>
  <c r="P39" i="106" s="1"/>
  <c r="P31" i="104"/>
  <c r="P32" i="104"/>
  <c r="P23" i="102"/>
  <c r="P10" i="101"/>
  <c r="P11" i="100"/>
  <c r="P12" i="100" s="1"/>
  <c r="P23" i="99"/>
  <c r="P12" i="98"/>
  <c r="P14" i="98" s="1"/>
  <c r="P14" i="97"/>
  <c r="P15" i="97" s="1"/>
  <c r="P27" i="95"/>
  <c r="P29" i="95" s="1"/>
  <c r="P40" i="93"/>
  <c r="P41" i="93" s="1"/>
  <c r="P32" i="91"/>
  <c r="P24" i="89"/>
  <c r="P26" i="89" s="1"/>
  <c r="N30" i="57"/>
  <c r="N24" i="26" l="1"/>
  <c r="P6" i="88" l="1"/>
  <c r="P5" i="88"/>
  <c r="P28" i="87"/>
  <c r="P27" i="87"/>
  <c r="P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31" i="85"/>
  <c r="P30" i="85"/>
  <c r="P29" i="85"/>
  <c r="P28" i="85"/>
  <c r="P27" i="85"/>
  <c r="P26" i="85"/>
  <c r="P25" i="85"/>
  <c r="P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5" i="84"/>
  <c r="P11" i="83"/>
  <c r="P10" i="83"/>
  <c r="P9" i="83"/>
  <c r="P8" i="83"/>
  <c r="P7" i="83"/>
  <c r="P6" i="83"/>
  <c r="P5" i="83"/>
  <c r="P9" i="81"/>
  <c r="P8" i="81"/>
  <c r="P7" i="81"/>
  <c r="P6" i="81"/>
  <c r="P5" i="81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5" i="79"/>
  <c r="P6" i="78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6" i="74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28" i="72"/>
  <c r="P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12" i="71"/>
  <c r="P11" i="71"/>
  <c r="P10" i="71"/>
  <c r="P9" i="71"/>
  <c r="P8" i="71"/>
  <c r="P7" i="71"/>
  <c r="P6" i="71"/>
  <c r="P5" i="71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10" i="68"/>
  <c r="P9" i="68"/>
  <c r="P8" i="68"/>
  <c r="P7" i="68"/>
  <c r="P6" i="68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25" i="62"/>
  <c r="P24" i="62"/>
  <c r="P23" i="62"/>
  <c r="P22" i="62"/>
  <c r="P21" i="62"/>
  <c r="P20" i="62"/>
  <c r="P19" i="62"/>
  <c r="P18" i="62"/>
  <c r="P17" i="62"/>
  <c r="P16" i="62"/>
  <c r="P15" i="62"/>
  <c r="P14" i="62"/>
  <c r="P13" i="62"/>
  <c r="P12" i="62"/>
  <c r="P11" i="62"/>
  <c r="P10" i="62"/>
  <c r="P9" i="62"/>
  <c r="P8" i="62"/>
  <c r="P7" i="62"/>
  <c r="P6" i="62"/>
  <c r="P6" i="61"/>
  <c r="P5" i="61"/>
  <c r="P7" i="60"/>
  <c r="P6" i="60"/>
  <c r="P5" i="60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7" i="58"/>
  <c r="P6" i="58"/>
  <c r="P5" i="58"/>
  <c r="P29" i="57"/>
  <c r="P28" i="57"/>
  <c r="P27" i="57"/>
  <c r="P26" i="57"/>
  <c r="P25" i="57"/>
  <c r="P24" i="57"/>
  <c r="P23" i="57"/>
  <c r="P22" i="57"/>
  <c r="P21" i="57"/>
  <c r="P20" i="57"/>
  <c r="P19" i="57"/>
  <c r="B48" i="2" l="1"/>
  <c r="B49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5" i="2"/>
  <c r="B24" i="2"/>
  <c r="B23" i="2"/>
  <c r="B22" i="2"/>
  <c r="B21" i="2"/>
  <c r="B20" i="2"/>
  <c r="B19" i="2"/>
  <c r="B18" i="2"/>
  <c r="G35" i="2" l="1"/>
  <c r="G31" i="2"/>
  <c r="G27" i="2"/>
  <c r="G23" i="2"/>
  <c r="C49" i="2"/>
  <c r="C48" i="2"/>
  <c r="C47" i="2"/>
  <c r="C46" i="2"/>
  <c r="G49" i="2"/>
  <c r="M7" i="88"/>
  <c r="P4" i="88"/>
  <c r="P3" i="88"/>
  <c r="C45" i="2"/>
  <c r="C44" i="2"/>
  <c r="C43" i="2"/>
  <c r="C42" i="2"/>
  <c r="C41" i="2"/>
  <c r="C40" i="2"/>
  <c r="C39" i="2"/>
  <c r="C38" i="2"/>
  <c r="C37" i="2"/>
  <c r="C36" i="2"/>
  <c r="G48" i="2"/>
  <c r="M29" i="87"/>
  <c r="P4" i="87"/>
  <c r="P3" i="87"/>
  <c r="N4" i="86"/>
  <c r="G47" i="2" s="1"/>
  <c r="M4" i="86"/>
  <c r="P3" i="86"/>
  <c r="N32" i="85"/>
  <c r="G46" i="2" s="1"/>
  <c r="M32" i="85"/>
  <c r="P4" i="85"/>
  <c r="P3" i="85"/>
  <c r="G45" i="2"/>
  <c r="M6" i="84"/>
  <c r="P4" i="84"/>
  <c r="P3" i="84"/>
  <c r="N12" i="83"/>
  <c r="G44" i="2" s="1"/>
  <c r="M12" i="83"/>
  <c r="P4" i="83"/>
  <c r="P3" i="83"/>
  <c r="G43" i="2"/>
  <c r="M12" i="81"/>
  <c r="P4" i="81"/>
  <c r="P3" i="81"/>
  <c r="G42" i="2"/>
  <c r="M30" i="80"/>
  <c r="P4" i="80"/>
  <c r="P3" i="80"/>
  <c r="P32" i="80" s="1"/>
  <c r="N6" i="79"/>
  <c r="G41" i="2" s="1"/>
  <c r="M6" i="79"/>
  <c r="P4" i="79"/>
  <c r="P3" i="79"/>
  <c r="G40" i="2"/>
  <c r="M7" i="78"/>
  <c r="P5" i="78"/>
  <c r="P4" i="78"/>
  <c r="P3" i="78"/>
  <c r="N48" i="77"/>
  <c r="G39" i="2" s="1"/>
  <c r="M48" i="77"/>
  <c r="P5" i="77"/>
  <c r="P4" i="77"/>
  <c r="P3" i="77"/>
  <c r="G38" i="2"/>
  <c r="M22" i="76"/>
  <c r="P6" i="76"/>
  <c r="P5" i="76"/>
  <c r="P4" i="76"/>
  <c r="P3" i="76"/>
  <c r="G37" i="2"/>
  <c r="M28" i="75"/>
  <c r="P5" i="75"/>
  <c r="P4" i="75"/>
  <c r="P3" i="75"/>
  <c r="G36" i="2"/>
  <c r="M7" i="74"/>
  <c r="P5" i="74"/>
  <c r="P4" i="74"/>
  <c r="P3" i="74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N18" i="73"/>
  <c r="M18" i="73"/>
  <c r="P4" i="73"/>
  <c r="P3" i="73"/>
  <c r="N29" i="72"/>
  <c r="G34" i="2" s="1"/>
  <c r="M29" i="72"/>
  <c r="P4" i="72"/>
  <c r="P3" i="72"/>
  <c r="N13" i="71"/>
  <c r="G33" i="2" s="1"/>
  <c r="M13" i="71"/>
  <c r="P4" i="71"/>
  <c r="P3" i="71"/>
  <c r="N30" i="70"/>
  <c r="G32" i="2" s="1"/>
  <c r="M30" i="70"/>
  <c r="P4" i="70"/>
  <c r="P3" i="70"/>
  <c r="M28" i="69"/>
  <c r="P4" i="69"/>
  <c r="P3" i="69"/>
  <c r="G30" i="2"/>
  <c r="M11" i="68"/>
  <c r="P5" i="68"/>
  <c r="P4" i="68"/>
  <c r="P3" i="68"/>
  <c r="N21" i="67"/>
  <c r="G29" i="2" s="1"/>
  <c r="M21" i="67"/>
  <c r="P5" i="67"/>
  <c r="P4" i="67"/>
  <c r="P3" i="67"/>
  <c r="G28" i="2"/>
  <c r="M5" i="66"/>
  <c r="P4" i="66"/>
  <c r="P3" i="66"/>
  <c r="N21" i="65"/>
  <c r="M21" i="65"/>
  <c r="P5" i="65"/>
  <c r="P4" i="65"/>
  <c r="P3" i="65"/>
  <c r="N5" i="64"/>
  <c r="M5" i="64"/>
  <c r="P4" i="64"/>
  <c r="P3" i="64"/>
  <c r="N42" i="63"/>
  <c r="G25" i="2" s="1"/>
  <c r="M42" i="63"/>
  <c r="P5" i="63"/>
  <c r="P4" i="63"/>
  <c r="P3" i="63"/>
  <c r="N26" i="62"/>
  <c r="G24" i="2" s="1"/>
  <c r="M26" i="62"/>
  <c r="P5" i="62"/>
  <c r="P4" i="62"/>
  <c r="P3" i="62"/>
  <c r="M7" i="61"/>
  <c r="P4" i="61"/>
  <c r="P3" i="61"/>
  <c r="N8" i="60"/>
  <c r="G22" i="2" s="1"/>
  <c r="M8" i="60"/>
  <c r="P4" i="60"/>
  <c r="P3" i="60"/>
  <c r="G21" i="2"/>
  <c r="M21" i="59"/>
  <c r="P5" i="59"/>
  <c r="P4" i="59"/>
  <c r="P3" i="59"/>
  <c r="G20" i="2"/>
  <c r="M8" i="58"/>
  <c r="P4" i="58"/>
  <c r="P3" i="58"/>
  <c r="G19" i="2"/>
  <c r="M30" i="57"/>
  <c r="P18" i="57"/>
  <c r="P17" i="57"/>
  <c r="P16" i="57"/>
  <c r="P15" i="57"/>
  <c r="P14" i="57"/>
  <c r="P13" i="57"/>
  <c r="P12" i="57"/>
  <c r="P11" i="57"/>
  <c r="P10" i="57"/>
  <c r="P9" i="57"/>
  <c r="P8" i="57"/>
  <c r="P7" i="57"/>
  <c r="P6" i="57"/>
  <c r="P5" i="57"/>
  <c r="P4" i="57"/>
  <c r="P3" i="57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23" i="67" l="1"/>
  <c r="P25" i="67" s="1"/>
  <c r="P9" i="88"/>
  <c r="P11" i="88" s="1"/>
  <c r="P31" i="87"/>
  <c r="P33" i="87" s="1"/>
  <c r="O4" i="86"/>
  <c r="P6" i="86" s="1"/>
  <c r="P7" i="86" s="1"/>
  <c r="P34" i="85"/>
  <c r="P36" i="85" s="1"/>
  <c r="P8" i="84"/>
  <c r="P9" i="84" s="1"/>
  <c r="P14" i="83"/>
  <c r="P15" i="83" s="1"/>
  <c r="P14" i="81"/>
  <c r="P16" i="81" s="1"/>
  <c r="P8" i="79"/>
  <c r="P9" i="79" s="1"/>
  <c r="P9" i="78"/>
  <c r="P10" i="78" s="1"/>
  <c r="P50" i="77"/>
  <c r="P51" i="77" s="1"/>
  <c r="P24" i="76"/>
  <c r="P26" i="76" s="1"/>
  <c r="P30" i="75"/>
  <c r="P31" i="75" s="1"/>
  <c r="P9" i="74"/>
  <c r="P11" i="74" s="1"/>
  <c r="P20" i="73"/>
  <c r="P22" i="73" s="1"/>
  <c r="P31" i="72"/>
  <c r="P33" i="72" s="1"/>
  <c r="P15" i="71"/>
  <c r="P16" i="71" s="1"/>
  <c r="P32" i="70"/>
  <c r="P34" i="70" s="1"/>
  <c r="P30" i="69"/>
  <c r="P32" i="69" s="1"/>
  <c r="P13" i="68"/>
  <c r="P15" i="68" s="1"/>
  <c r="P7" i="66"/>
  <c r="P9" i="66" s="1"/>
  <c r="P23" i="65"/>
  <c r="P25" i="65" s="1"/>
  <c r="P7" i="64"/>
  <c r="P9" i="64" s="1"/>
  <c r="P44" i="63"/>
  <c r="P46" i="63" s="1"/>
  <c r="P28" i="62"/>
  <c r="P30" i="62" s="1"/>
  <c r="O7" i="61"/>
  <c r="P9" i="61" s="1"/>
  <c r="P10" i="61" s="1"/>
  <c r="P10" i="60"/>
  <c r="P12" i="60" s="1"/>
  <c r="P23" i="59"/>
  <c r="P25" i="59" s="1"/>
  <c r="P10" i="58"/>
  <c r="P11" i="58" s="1"/>
  <c r="P32" i="57"/>
  <c r="P33" i="57" s="1"/>
  <c r="P34" i="80"/>
  <c r="P33" i="80"/>
  <c r="P35" i="80" s="1"/>
  <c r="P24" i="59" l="1"/>
  <c r="P26" i="59" s="1"/>
  <c r="P10" i="84"/>
  <c r="P11" i="84" s="1"/>
  <c r="P11" i="78"/>
  <c r="P12" i="78" s="1"/>
  <c r="P52" i="77"/>
  <c r="P53" i="77" s="1"/>
  <c r="P32" i="72"/>
  <c r="P17" i="71"/>
  <c r="P18" i="71" s="1"/>
  <c r="P24" i="67"/>
  <c r="P26" i="67" s="1"/>
  <c r="P8" i="64"/>
  <c r="P29" i="62"/>
  <c r="P10" i="88"/>
  <c r="P12" i="88" s="1"/>
  <c r="P32" i="87"/>
  <c r="P34" i="87" s="1"/>
  <c r="P8" i="86"/>
  <c r="P9" i="86"/>
  <c r="P35" i="85"/>
  <c r="P37" i="85" s="1"/>
  <c r="P16" i="83"/>
  <c r="P17" i="83" s="1"/>
  <c r="P15" i="81"/>
  <c r="P17" i="81" s="1"/>
  <c r="P10" i="79"/>
  <c r="P11" i="79" s="1"/>
  <c r="P25" i="76"/>
  <c r="P27" i="76" s="1"/>
  <c r="P32" i="75"/>
  <c r="P33" i="75" s="1"/>
  <c r="P10" i="74"/>
  <c r="P12" i="74" s="1"/>
  <c r="P21" i="73"/>
  <c r="P23" i="73" s="1"/>
  <c r="P34" i="72"/>
  <c r="P33" i="70"/>
  <c r="P35" i="70"/>
  <c r="P31" i="69"/>
  <c r="P33" i="69"/>
  <c r="P14" i="68"/>
  <c r="P16" i="68" s="1"/>
  <c r="P8" i="66"/>
  <c r="P10" i="66" s="1"/>
  <c r="P24" i="65"/>
  <c r="P26" i="65"/>
  <c r="P10" i="64"/>
  <c r="P45" i="63"/>
  <c r="P47" i="63" s="1"/>
  <c r="P31" i="62"/>
  <c r="P11" i="61"/>
  <c r="P12" i="61" s="1"/>
  <c r="P11" i="60"/>
  <c r="P13" i="60" s="1"/>
  <c r="P12" i="58"/>
  <c r="P13" i="58" s="1"/>
  <c r="P34" i="57"/>
  <c r="I77" i="2"/>
  <c r="I76" i="2"/>
  <c r="I78" i="2" s="1"/>
  <c r="P4" i="26"/>
  <c r="P5" i="26"/>
  <c r="P6" i="26"/>
  <c r="P7" i="26"/>
  <c r="G18" i="2" l="1"/>
  <c r="J18" i="2" s="1"/>
  <c r="M24" i="26"/>
  <c r="P3" i="26"/>
  <c r="O24" i="26" l="1"/>
  <c r="P26" i="26" s="1"/>
  <c r="P27" i="26" l="1"/>
  <c r="P28" i="26"/>
  <c r="P29" i="26" l="1"/>
  <c r="A19" i="2"/>
  <c r="I89" i="2" l="1"/>
  <c r="J75" i="2" l="1"/>
  <c r="J77" i="2" l="1"/>
  <c r="J76" i="2"/>
  <c r="J78" i="2" l="1"/>
</calcChain>
</file>

<file path=xl/sharedStrings.xml><?xml version="1.0" encoding="utf-8"?>
<sst xmlns="http://schemas.openxmlformats.org/spreadsheetml/2006/main" count="5219" uniqueCount="984">
  <si>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</si>
  <si>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</si>
  <si>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</si>
  <si>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</si>
  <si>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</si>
  <si>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</si>
  <si>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</si>
  <si>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</si>
  <si>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</si>
  <si>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</si>
  <si>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</si>
  <si>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</si>
  <si>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</si>
  <si>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</si>
  <si>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</si>
  <si>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</si>
  <si>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</si>
  <si>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</si>
  <si>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</si>
  <si>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</si>
  <si>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</si>
  <si>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</si>
  <si>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</si>
  <si>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</si>
  <si>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</si>
  <si>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</si>
  <si>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</si>
  <si>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</si>
  <si>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</si>
  <si>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</si>
  <si>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</si>
  <si>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</si>
  <si>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</si>
  <si>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</si>
  <si>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</si>
  <si>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</si>
  <si>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</si>
  <si>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</si>
  <si>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</si>
  <si>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</si>
  <si>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</si>
  <si>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</si>
  <si>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</si>
  <si>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</si>
  <si>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</si>
  <si>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</si>
  <si>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</si>
  <si>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</si>
  <si>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</si>
  <si>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</si>
  <si>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BATAM</t>
  </si>
  <si>
    <t>Periode</t>
  </si>
  <si>
    <t>Discount 10%</t>
  </si>
  <si>
    <t>Total Setelah Discount</t>
  </si>
  <si>
    <t>PPh 23  2%</t>
  </si>
  <si>
    <t>PPh 23 2%</t>
  </si>
  <si>
    <t>TOTAL</t>
  </si>
  <si>
    <t xml:space="preserve"> 035/PI/K1/XI/21</t>
  </si>
  <si>
    <t>01 -  31 Oktober 21</t>
  </si>
  <si>
    <t>DMD/2110/01/OWPG0754</t>
  </si>
  <si>
    <t>GSK211001KMI029</t>
  </si>
  <si>
    <t>GSK211001LHE754</t>
  </si>
  <si>
    <t>GSK211001DVQ618</t>
  </si>
  <si>
    <t>GSK211001UNJ458</t>
  </si>
  <si>
    <t>GSK210930LYB827</t>
  </si>
  <si>
    <t>GSK210929XJZ081</t>
  </si>
  <si>
    <t>GSK211001UTA029</t>
  </si>
  <si>
    <t>GSK211001BZW421</t>
  </si>
  <si>
    <t>GSK210929AHV753</t>
  </si>
  <si>
    <t>GSK211001XJF853</t>
  </si>
  <si>
    <t>GSK211001BMD321</t>
  </si>
  <si>
    <t>GSK210929RTW581</t>
  </si>
  <si>
    <t>GSK211001NCQ405</t>
  </si>
  <si>
    <t>GSK211001NDJ341</t>
  </si>
  <si>
    <t>GSK211001CFB261</t>
  </si>
  <si>
    <t>GSK210929NGP840</t>
  </si>
  <si>
    <t>GSK211001EUQ864</t>
  </si>
  <si>
    <t>DMD/2110/01/SUFK1976</t>
  </si>
  <si>
    <t>GSK210929KGY495</t>
  </si>
  <si>
    <t>GSK210929VQW890</t>
  </si>
  <si>
    <t>GSK211001FBT907</t>
  </si>
  <si>
    <t>DMD/2110/01/LWXU7135</t>
  </si>
  <si>
    <t>GSK211001NPH198</t>
  </si>
  <si>
    <t>DMP BTH (BATAM)</t>
  </si>
  <si>
    <t>KM SEMBILANG</t>
  </si>
  <si>
    <t>05/10/2021 RESTU</t>
  </si>
  <si>
    <t>DMD/2110/02/FPRB5639</t>
  </si>
  <si>
    <t>GSK210930ODC253</t>
  </si>
  <si>
    <t>GSK211001GIS235</t>
  </si>
  <si>
    <t>GSK211002UIZ810</t>
  </si>
  <si>
    <t>GSK211001HLE492</t>
  </si>
  <si>
    <t>GSK211002KSQ023</t>
  </si>
  <si>
    <t>GSK210929TCU062</t>
  </si>
  <si>
    <t>GSK211001ENA072</t>
  </si>
  <si>
    <t>GSK210930LFZ528</t>
  </si>
  <si>
    <t>GSK211002IXM280</t>
  </si>
  <si>
    <t>GSK211001PKL657</t>
  </si>
  <si>
    <t>GSK211001FVI917</t>
  </si>
  <si>
    <t>GSK211001CPS175</t>
  </si>
  <si>
    <t>GSK211002POU437</t>
  </si>
  <si>
    <t>GSK211002ZMJ375</t>
  </si>
  <si>
    <t>GSK211002TYA107</t>
  </si>
  <si>
    <t>GSK211002JOH731</t>
  </si>
  <si>
    <t>GSK211002LGV350</t>
  </si>
  <si>
    <t>GSK211002VOF398</t>
  </si>
  <si>
    <t>DMD/2110/02/XWLY1267</t>
  </si>
  <si>
    <t>GSK211002PIL840</t>
  </si>
  <si>
    <t>GSK210930EKQ760</t>
  </si>
  <si>
    <t>DMD/2110/02/VSRP1490</t>
  </si>
  <si>
    <t>GSK211002KMA087</t>
  </si>
  <si>
    <t>GSK211002NVR236</t>
  </si>
  <si>
    <t>GSK211002ACH716</t>
  </si>
  <si>
    <t>GSK211002XRV241</t>
  </si>
  <si>
    <t>GSK211002FMU547</t>
  </si>
  <si>
    <t>GSK211002IOA027</t>
  </si>
  <si>
    <t>GSK211002PRS039</t>
  </si>
  <si>
    <t>O5/10/2021 RESTU</t>
  </si>
  <si>
    <t>DMD/2110/02/USBC3197</t>
  </si>
  <si>
    <t>GSK211002LUX703</t>
  </si>
  <si>
    <t>KM SATRIA PRATAMA</t>
  </si>
  <si>
    <t>11/10/2021 RESTU</t>
  </si>
  <si>
    <t>GSK211002FRV451</t>
  </si>
  <si>
    <t>GSK211002UCD345</t>
  </si>
  <si>
    <t>GSK211002DIU792</t>
  </si>
  <si>
    <t>GSK211002SLN490</t>
  </si>
  <si>
    <t>DMD/2110/03/HXQF7380</t>
  </si>
  <si>
    <t>GSK211002DNK793</t>
  </si>
  <si>
    <t>03-Okt-21</t>
  </si>
  <si>
    <t>GSK211003IRD301</t>
  </si>
  <si>
    <t>GSK211003HVQ937</t>
  </si>
  <si>
    <t>GSK211003BER372</t>
  </si>
  <si>
    <t>GSK211003DLQ065</t>
  </si>
  <si>
    <t>GSK211001GZQ034</t>
  </si>
  <si>
    <t>GSK211003EIO038</t>
  </si>
  <si>
    <t>GSK211003FWT980</t>
  </si>
  <si>
    <t>GSK211003KCT569</t>
  </si>
  <si>
    <t>GSK211002LMP980</t>
  </si>
  <si>
    <t>GSK211003CXG528</t>
  </si>
  <si>
    <t>GSK211003GZH453</t>
  </si>
  <si>
    <t>GSK211002WEP924</t>
  </si>
  <si>
    <t>GSK211002HDJ082</t>
  </si>
  <si>
    <t>GSK211002VKJ893</t>
  </si>
  <si>
    <t>GSK211003ZSN674</t>
  </si>
  <si>
    <t>DMD/2110/03/TDCY8392</t>
  </si>
  <si>
    <t>GSK211003TNZ543</t>
  </si>
  <si>
    <t>GSK211003JWL762</t>
  </si>
  <si>
    <t>DMD/2110/03/QYIZ9865</t>
  </si>
  <si>
    <t>GSK211003KRJ986</t>
  </si>
  <si>
    <t>GSK211003LHF086</t>
  </si>
  <si>
    <t>GSK211003VDN374</t>
  </si>
  <si>
    <t>GSK211003YXI146</t>
  </si>
  <si>
    <t>GSK211003MJX391</t>
  </si>
  <si>
    <t>DMD/2110/04/UKOF9384</t>
  </si>
  <si>
    <t>GSK211004RKP048</t>
  </si>
  <si>
    <t>GSK211002NJW649</t>
  </si>
  <si>
    <t>GSK211002SPC043</t>
  </si>
  <si>
    <t>GSK211004HJE267</t>
  </si>
  <si>
    <t>DMD/2110/05/SLCH2453</t>
  </si>
  <si>
    <t>GSK211005CQV659</t>
  </si>
  <si>
    <t>GSK211005GJY857</t>
  </si>
  <si>
    <t>GSK211005DEQ867</t>
  </si>
  <si>
    <t>GSK211005EMZ673</t>
  </si>
  <si>
    <t>GSK211005AZI542</t>
  </si>
  <si>
    <t>GSK211005WXL794</t>
  </si>
  <si>
    <t>GSK211005LSH128</t>
  </si>
  <si>
    <t>GSK211005NLE910</t>
  </si>
  <si>
    <t>GSK211005VNF312</t>
  </si>
  <si>
    <t>GSK211005BCI945</t>
  </si>
  <si>
    <t>GSK211005JMG642</t>
  </si>
  <si>
    <t>GSK211005LGU174</t>
  </si>
  <si>
    <t>GSK211004HAD452</t>
  </si>
  <si>
    <t>GSK211005MNA203</t>
  </si>
  <si>
    <t>GSK211004DGQ710</t>
  </si>
  <si>
    <t>GSK211005EPU246</t>
  </si>
  <si>
    <t>GSK211005GYA876</t>
  </si>
  <si>
    <t>DMD/2110/05/OKLN8167</t>
  </si>
  <si>
    <t>GSK211005RVW137</t>
  </si>
  <si>
    <t>GSK211005WPC846</t>
  </si>
  <si>
    <t>DMD/2110/05/VHAL1352</t>
  </si>
  <si>
    <t>GSK211005EDS150</t>
  </si>
  <si>
    <t>GSK211005SHJ237</t>
  </si>
  <si>
    <t>DMD/2110/05/STDP4839</t>
  </si>
  <si>
    <t>GSK211005YRQ923</t>
  </si>
  <si>
    <t>GSK211005BKJ218</t>
  </si>
  <si>
    <t>DMD/2110/06/ZHCF5341</t>
  </si>
  <si>
    <t>GSK211006ZQR431</t>
  </si>
  <si>
    <t>09/10/2021 RESTU</t>
  </si>
  <si>
    <t>GSK211006CMS105</t>
  </si>
  <si>
    <t>GSK211006GHX931</t>
  </si>
  <si>
    <t>GSK211006JSM219</t>
  </si>
  <si>
    <t>GSK211006JWC265</t>
  </si>
  <si>
    <t>GSK211006EPL241</t>
  </si>
  <si>
    <t>GSK211006ZRS543</t>
  </si>
  <si>
    <t>GSK211006SDI371</t>
  </si>
  <si>
    <t>GSK211006FTC521</t>
  </si>
  <si>
    <t>GSK211006LHY518</t>
  </si>
  <si>
    <t>GSK211006XZQ087</t>
  </si>
  <si>
    <t>GSK211005UDE481</t>
  </si>
  <si>
    <t>GSK211006QSZ860</t>
  </si>
  <si>
    <t>GSK211006RZA632</t>
  </si>
  <si>
    <t>GSK211006YBE849</t>
  </si>
  <si>
    <t>GSK211005GNY137</t>
  </si>
  <si>
    <t>GSK211006NTK736</t>
  </si>
  <si>
    <t>GSK211006ECI403</t>
  </si>
  <si>
    <t>GSK211006WPI584</t>
  </si>
  <si>
    <t>GSK211005TIL273</t>
  </si>
  <si>
    <t>GSK211006HYS186</t>
  </si>
  <si>
    <t>GSK211006UIC651</t>
  </si>
  <si>
    <t>GSK211005ALG713</t>
  </si>
  <si>
    <t>GSK211006WFM713</t>
  </si>
  <si>
    <t>GSK211006MFZ806</t>
  </si>
  <si>
    <t>GSK211006PDQ503</t>
  </si>
  <si>
    <t>GSK211006NKB702</t>
  </si>
  <si>
    <t>GSK211006JXW087</t>
  </si>
  <si>
    <t>GSK211006BAL310</t>
  </si>
  <si>
    <t>GSK211006HOL780</t>
  </si>
  <si>
    <t>GSK211005KZO708</t>
  </si>
  <si>
    <t>GSK211004VHY279</t>
  </si>
  <si>
    <t>GSK211006EDI135</t>
  </si>
  <si>
    <t>GSK211006RDH421</t>
  </si>
  <si>
    <t>GSK211006DIQ957</t>
  </si>
  <si>
    <t>DMD/2110/06/FNJT9105</t>
  </si>
  <si>
    <t>GSK211005VGT856</t>
  </si>
  <si>
    <t>GSK211006NKY819</t>
  </si>
  <si>
    <t>GSK211006VMS694</t>
  </si>
  <si>
    <t>GSK211006PNS263</t>
  </si>
  <si>
    <t>DMD/2110/06/APSG9605</t>
  </si>
  <si>
    <t>GSK211006PFC367</t>
  </si>
  <si>
    <t>DMD/2110/06/RJHW7165</t>
  </si>
  <si>
    <t>GSK211006LTV241</t>
  </si>
  <si>
    <t>DMD/2110/07/CJDX4638</t>
  </si>
  <si>
    <t>GSK211006KBS790</t>
  </si>
  <si>
    <t xml:space="preserve"> KM SATRIA PRATAMA</t>
  </si>
  <si>
    <t>GSK211006FHK804</t>
  </si>
  <si>
    <t>GSK211007JCW926</t>
  </si>
  <si>
    <t>GSK211007LKF967</t>
  </si>
  <si>
    <t>GSK211006JKL293</t>
  </si>
  <si>
    <t>GSK211007TVD372</t>
  </si>
  <si>
    <t>GSK211007IDL832</t>
  </si>
  <si>
    <t>GSK211007FTL925</t>
  </si>
  <si>
    <t>GSK211005VNX418</t>
  </si>
  <si>
    <t>GSK211005HFV863</t>
  </si>
  <si>
    <t>GSK211007ZFT497</t>
  </si>
  <si>
    <t>GSK211006YQO231</t>
  </si>
  <si>
    <t>GSK211007QPD962</t>
  </si>
  <si>
    <t>DMD/2110/07/BOJS7105</t>
  </si>
  <si>
    <t>GSK211006HJS960</t>
  </si>
  <si>
    <t>GSK211007MYN392</t>
  </si>
  <si>
    <t>DMD/2110/07/XOHW0732</t>
  </si>
  <si>
    <t>GSK211007AED498</t>
  </si>
  <si>
    <t>GSK211007WFY796</t>
  </si>
  <si>
    <t>GSK211007EKC071</t>
  </si>
  <si>
    <t>kurang 1 dmd</t>
  </si>
  <si>
    <t>belum ada surat jalan</t>
  </si>
  <si>
    <t>DMD/2110/08/VLKQ2189</t>
  </si>
  <si>
    <t>GSK211007DSC936</t>
  </si>
  <si>
    <t>GSK211008XQK690</t>
  </si>
  <si>
    <t>GSK211008QPE146</t>
  </si>
  <si>
    <t>GSK211008QHB718</t>
  </si>
  <si>
    <t>GSK211008GSA759</t>
  </si>
  <si>
    <t>GSK211008MZR614</t>
  </si>
  <si>
    <t>GSK211008ENG472</t>
  </si>
  <si>
    <t>GSK211008ZQV604</t>
  </si>
  <si>
    <t>GSK211007TME785</t>
  </si>
  <si>
    <t>GSK211008VEZ524</t>
  </si>
  <si>
    <t>GSK211008HWV214</t>
  </si>
  <si>
    <t>GSK211008LPY970</t>
  </si>
  <si>
    <t>GSK211008CHG037</t>
  </si>
  <si>
    <t>GSK211006VUD407</t>
  </si>
  <si>
    <t>GSK211007TIS032</t>
  </si>
  <si>
    <t>DMD/2110/08/JSLE9023</t>
  </si>
  <si>
    <t>GSK211008SNG894</t>
  </si>
  <si>
    <t>GSK211008RES071</t>
  </si>
  <si>
    <t>GSK211008NAZ209</t>
  </si>
  <si>
    <t>DMD/2110/07/CXDS3510</t>
  </si>
  <si>
    <t>GSK211007MVB189</t>
  </si>
  <si>
    <t>DMD/2110/07/UHBA1294</t>
  </si>
  <si>
    <t>GSK211007YGZ305</t>
  </si>
  <si>
    <t>DMD/2110/08/PBVA1298</t>
  </si>
  <si>
    <t>GSK211008KUX623</t>
  </si>
  <si>
    <t>GSK211008RMB057</t>
  </si>
  <si>
    <t>GSK211008SPY605</t>
  </si>
  <si>
    <t>GSK211008IED014</t>
  </si>
  <si>
    <t>GSK211008LMA672</t>
  </si>
  <si>
    <t>GSK211008KEI049</t>
  </si>
  <si>
    <t>GSK211008IAB908</t>
  </si>
  <si>
    <t>DMD/2110/08/ODSC3271</t>
  </si>
  <si>
    <t>GSK211008GQH836</t>
  </si>
  <si>
    <t>DMD/2110/09/QGWL9547</t>
  </si>
  <si>
    <t>GSK211009HOJ796</t>
  </si>
  <si>
    <t>15/10/2021 RESTU</t>
  </si>
  <si>
    <t>GSK211008UFG061</t>
  </si>
  <si>
    <t>GSK211007IRL861</t>
  </si>
  <si>
    <t>GSK211008VQB984</t>
  </si>
  <si>
    <t>GSK211009OQI268</t>
  </si>
  <si>
    <t>GSK211009FAD271</t>
  </si>
  <si>
    <t>GSK211009RHQ910</t>
  </si>
  <si>
    <t>GSK211009VSR735</t>
  </si>
  <si>
    <t>GSK211008GZC562</t>
  </si>
  <si>
    <t>GSK211009MIB450</t>
  </si>
  <si>
    <t>GSK211007EIA342</t>
  </si>
  <si>
    <t>GSK211009YHF659</t>
  </si>
  <si>
    <t>GSK211009AFE382</t>
  </si>
  <si>
    <t>GSK211008PUV925</t>
  </si>
  <si>
    <t>GSK211009PJW491</t>
  </si>
  <si>
    <t>GSK211009XPJ350</t>
  </si>
  <si>
    <t>GSK211009PMX439</t>
  </si>
  <si>
    <t>GSK211008CHN159</t>
  </si>
  <si>
    <t>GSK211008CEZ204</t>
  </si>
  <si>
    <t>GSK211008XTE967</t>
  </si>
  <si>
    <t>GSK211009FWE532</t>
  </si>
  <si>
    <t>GSK211008RYS314</t>
  </si>
  <si>
    <t>DMD/2110/09/QFVJ7821</t>
  </si>
  <si>
    <t>GSK211009SBA438</t>
  </si>
  <si>
    <t>GSK211009HZL215</t>
  </si>
  <si>
    <t>GSK211009SHX052</t>
  </si>
  <si>
    <t>DMD/2110/10/ZAXO3527</t>
  </si>
  <si>
    <t>GSK211010KCH307</t>
  </si>
  <si>
    <t>GSK211010LBG891</t>
  </si>
  <si>
    <t>GSK211010XRQ923</t>
  </si>
  <si>
    <t>GSK211010WPQ426</t>
  </si>
  <si>
    <t>GSK211009EUQ042</t>
  </si>
  <si>
    <t>GSK211010CPI407</t>
  </si>
  <si>
    <t>GSK211008QSA289</t>
  </si>
  <si>
    <t>GSK211008KDT360</t>
  </si>
  <si>
    <t>GSK211010QTV301</t>
  </si>
  <si>
    <t>GSK211009XKS682</t>
  </si>
  <si>
    <t>GSK211010XJZ046</t>
  </si>
  <si>
    <t>GSK211010RMO932</t>
  </si>
  <si>
    <t>DMD/2110/10/NBTK5827</t>
  </si>
  <si>
    <t>GSK211010UVW185</t>
  </si>
  <si>
    <t>GSK211010ZHF357</t>
  </si>
  <si>
    <t>GSK211010NAR406</t>
  </si>
  <si>
    <t>DMD/2110/10/EHOF6783</t>
  </si>
  <si>
    <t>GSK211010WEJ498</t>
  </si>
  <si>
    <t>DMD/2110/10/PCRM8521</t>
  </si>
  <si>
    <t>GSK211010WIK849</t>
  </si>
  <si>
    <t>DMD/2110/10/ZSJN0531</t>
  </si>
  <si>
    <t>GSK211010OMW579</t>
  </si>
  <si>
    <t>DMD/2110/10/XSPF4318</t>
  </si>
  <si>
    <t>GSK211010EYZ654</t>
  </si>
  <si>
    <t>GSK211009LOY237</t>
  </si>
  <si>
    <t>GSK211009TAZ394</t>
  </si>
  <si>
    <t>GSK211010VAH067</t>
  </si>
  <si>
    <t>GSK211010RTV247</t>
  </si>
  <si>
    <t>GSK211010BRX869</t>
  </si>
  <si>
    <t>GSK211009QFM653</t>
  </si>
  <si>
    <t>GSK211010DXA063</t>
  </si>
  <si>
    <t>GSK211010WCB658</t>
  </si>
  <si>
    <t>DMD/2110/11/GWHJ1495</t>
  </si>
  <si>
    <t>GSK211011WID638</t>
  </si>
  <si>
    <t>GSK211010NQI583</t>
  </si>
  <si>
    <t>GSK211009GUZ079</t>
  </si>
  <si>
    <t>GSK211011RNO938</t>
  </si>
  <si>
    <t>GSK211011VFQ526</t>
  </si>
  <si>
    <t>GSK211010AZN682</t>
  </si>
  <si>
    <t>GSK211011QAH382</t>
  </si>
  <si>
    <t>DMD/2110/11/WOYX9081</t>
  </si>
  <si>
    <t>GSK211010FQM971</t>
  </si>
  <si>
    <t>GSK211011OZF314</t>
  </si>
  <si>
    <t>GSK211011WCE702</t>
  </si>
  <si>
    <t>DMD/2110/12/EHDR3958</t>
  </si>
  <si>
    <t>GSK211012YHC037</t>
  </si>
  <si>
    <t>15-Okt-21</t>
  </si>
  <si>
    <t>18/10/2021 RESTU</t>
  </si>
  <si>
    <t>GSK211012OSH594</t>
  </si>
  <si>
    <t>GSK211012AXM182</t>
  </si>
  <si>
    <t>GSK211011DGJ380</t>
  </si>
  <si>
    <t>GSK211012XGM840</t>
  </si>
  <si>
    <t>GSK211012DJB963</t>
  </si>
  <si>
    <t>GSK211012JBV546</t>
  </si>
  <si>
    <t>GSK211012DIO931</t>
  </si>
  <si>
    <t>GSK211011OBP857</t>
  </si>
  <si>
    <t>GSK211012MDS637</t>
  </si>
  <si>
    <t>GSK211012JNY628</t>
  </si>
  <si>
    <t>GSK211012RFU721</t>
  </si>
  <si>
    <t>GSK211012MQZ813</t>
  </si>
  <si>
    <t>GSK211012KGU038</t>
  </si>
  <si>
    <t>GSK211012FHL453</t>
  </si>
  <si>
    <t>GSK211012CED842</t>
  </si>
  <si>
    <t>GSK211012RJX529</t>
  </si>
  <si>
    <t>GSK211012PXG109</t>
  </si>
  <si>
    <t>GSK211012BQL095</t>
  </si>
  <si>
    <t>GSK211011ZFR895</t>
  </si>
  <si>
    <t>GSK211012IUQ630</t>
  </si>
  <si>
    <t>GSK211012BJX296</t>
  </si>
  <si>
    <t>GSK211012SRP890</t>
  </si>
  <si>
    <t>GSK211012ZOX372</t>
  </si>
  <si>
    <t>GSK211012IMY168</t>
  </si>
  <si>
    <t>GSK211012KYU642</t>
  </si>
  <si>
    <t>DMD/2110/13/XVEY7231</t>
  </si>
  <si>
    <t>GSK211013ACG472</t>
  </si>
  <si>
    <t>13-Okt-21</t>
  </si>
  <si>
    <t>GSK211013OBH248</t>
  </si>
  <si>
    <t>GSK211013NFB102</t>
  </si>
  <si>
    <t>GSK211013OJE984</t>
  </si>
  <si>
    <t>GSK211012CAF946</t>
  </si>
  <si>
    <t>GSK211013RID078</t>
  </si>
  <si>
    <t>GSK211013IWA834</t>
  </si>
  <si>
    <t>GSK211013WQR674</t>
  </si>
  <si>
    <t>GSK211013QUZ503</t>
  </si>
  <si>
    <t>GSK211013EKM621</t>
  </si>
  <si>
    <t>GSK211012LZM341</t>
  </si>
  <si>
    <t>GSK211012XZY069</t>
  </si>
  <si>
    <t>GSK211013LKF590</t>
  </si>
  <si>
    <t>DMD/2110/13/FQMJ8104</t>
  </si>
  <si>
    <t>GSK211013OTJ867</t>
  </si>
  <si>
    <t>DMD/2110/13/WRIM7431</t>
  </si>
  <si>
    <t>GSK211013XIH234</t>
  </si>
  <si>
    <t>DMD/2110/13/PEFK7814</t>
  </si>
  <si>
    <t>GSK211013QMX240</t>
  </si>
  <si>
    <t>GSK211013NZL837</t>
  </si>
  <si>
    <t>GSK211013NTH604</t>
  </si>
  <si>
    <t>GSK211013AVO015</t>
  </si>
  <si>
    <t>DMD/2110/14/HPXS5481</t>
  </si>
  <si>
    <t>GSK211014EOM452</t>
  </si>
  <si>
    <t>GSK211014IMR173</t>
  </si>
  <si>
    <t>GSK211012IGQ372</t>
  </si>
  <si>
    <t>GSK211013QTH612</t>
  </si>
  <si>
    <t>GSK211013GQE215</t>
  </si>
  <si>
    <t>GSK211014GVR912</t>
  </si>
  <si>
    <t>GSK211014ISK072</t>
  </si>
  <si>
    <t>GSK211014KGQ406</t>
  </si>
  <si>
    <t>GSK211013EBU628</t>
  </si>
  <si>
    <t>GSK211014VUX743</t>
  </si>
  <si>
    <t>GSK211014REI502</t>
  </si>
  <si>
    <t>GSK211014ERH836</t>
  </si>
  <si>
    <t>GSK211013INR876</t>
  </si>
  <si>
    <t>GSK211014YRZ649</t>
  </si>
  <si>
    <t>GSK211014PHW219</t>
  </si>
  <si>
    <t>GSK211013EGU176</t>
  </si>
  <si>
    <t>GSK211013OZH289</t>
  </si>
  <si>
    <t>GSK211014KAE943</t>
  </si>
  <si>
    <t>GSK211013TGB478</t>
  </si>
  <si>
    <t>GSK211013OPB031</t>
  </si>
  <si>
    <t>DMD/2110/14/BELW5019</t>
  </si>
  <si>
    <t>GSK211014XVN809</t>
  </si>
  <si>
    <t>GSK211014RZJ275</t>
  </si>
  <si>
    <t>GSK211013UKI367</t>
  </si>
  <si>
    <t>GSK211014STU365</t>
  </si>
  <si>
    <t>GSK211013KCI620</t>
  </si>
  <si>
    <t>DMD/2110/14/EVZH8527</t>
  </si>
  <si>
    <t>GSK211013WTB297</t>
  </si>
  <si>
    <t>GSK211014EXR684</t>
  </si>
  <si>
    <t>DMD/2110/14/OHBJ0573</t>
  </si>
  <si>
    <t>GSK211013LMV192</t>
  </si>
  <si>
    <t>DMD/2110/14/CWOT5731</t>
  </si>
  <si>
    <t>GSK211014CZW029</t>
  </si>
  <si>
    <t>GSK211014QXB082</t>
  </si>
  <si>
    <t>GSK211014QPY462</t>
  </si>
  <si>
    <t>GSK211014WLX684</t>
  </si>
  <si>
    <t>GSK211014ESV245</t>
  </si>
  <si>
    <t>GSK211014SNG196</t>
  </si>
  <si>
    <t>GSK211014LUV614</t>
  </si>
  <si>
    <t>GSK211014CWY864</t>
  </si>
  <si>
    <t>GSK211014PIF098</t>
  </si>
  <si>
    <t>GSK211014RAI645</t>
  </si>
  <si>
    <t>GSK211014PIF931</t>
  </si>
  <si>
    <t>GSK211014OCJ197</t>
  </si>
  <si>
    <t>GSK211014LWG064</t>
  </si>
  <si>
    <t>GSK211014AQU410</t>
  </si>
  <si>
    <t>GSK211014VHD492</t>
  </si>
  <si>
    <t>DMD/2110/15/KOCH7054</t>
  </si>
  <si>
    <t>GSK211014BQX724</t>
  </si>
  <si>
    <t>DMD/2110/15/XBUC5948</t>
  </si>
  <si>
    <t>GSK211014AVL710</t>
  </si>
  <si>
    <t>19-Okt-21</t>
  </si>
  <si>
    <t>23/10/2021 RESTU</t>
  </si>
  <si>
    <t>GSK211015DEK893</t>
  </si>
  <si>
    <t>GSK211015XYG758</t>
  </si>
  <si>
    <t>GSK211014WCY516</t>
  </si>
  <si>
    <t>GSK211014SIY035</t>
  </si>
  <si>
    <t>GSK211015EWC450</t>
  </si>
  <si>
    <t>GSK211014ZXR918</t>
  </si>
  <si>
    <t>GSK211015KSR204</t>
  </si>
  <si>
    <t>GSK211015QCX824</t>
  </si>
  <si>
    <t>GSK211015BMC342</t>
  </si>
  <si>
    <t>GSK211015LVN207</t>
  </si>
  <si>
    <t>GSK211015UHQ089</t>
  </si>
  <si>
    <t>GSK211015TOI816</t>
  </si>
  <si>
    <t>GSK211015DIS815</t>
  </si>
  <si>
    <t>GSK211015MJX476</t>
  </si>
  <si>
    <t>GSK211015KCH723</t>
  </si>
  <si>
    <t>GSK211015WRL634</t>
  </si>
  <si>
    <t>GSK211015XFC703</t>
  </si>
  <si>
    <t>GSK211015EBZ130</t>
  </si>
  <si>
    <t>GSK211015UZN802</t>
  </si>
  <si>
    <t>GSK211015YFQ354</t>
  </si>
  <si>
    <t>GSK211015DYM015</t>
  </si>
  <si>
    <t>GSK211015UBA138</t>
  </si>
  <si>
    <t>DMD/2110/15/UIMY0369</t>
  </si>
  <si>
    <t>GSK211014VYI093</t>
  </si>
  <si>
    <t>GSK211014AGE395</t>
  </si>
  <si>
    <t>DMD/2110/15/HIKW7395</t>
  </si>
  <si>
    <t>GSK211015WZU890</t>
  </si>
  <si>
    <t>GSK211015YRC957</t>
  </si>
  <si>
    <t>GSK211015TLQ462</t>
  </si>
  <si>
    <t>GSK211015ILD261</t>
  </si>
  <si>
    <t>GSK211015DGH495</t>
  </si>
  <si>
    <t>GSK211015IJB340</t>
  </si>
  <si>
    <t>GSK211015YZU561</t>
  </si>
  <si>
    <t>GSK211015PUJ874</t>
  </si>
  <si>
    <t>GSK211015XFJ267</t>
  </si>
  <si>
    <t>GSK211015SLM294</t>
  </si>
  <si>
    <t>GSK211015QMS389</t>
  </si>
  <si>
    <t>GSK211015QPC254</t>
  </si>
  <si>
    <t>GSK211015FNQ127</t>
  </si>
  <si>
    <t>GSK211015PTS168</t>
  </si>
  <si>
    <t>GSK211015PUQ147</t>
  </si>
  <si>
    <t>GSK211015IDB925</t>
  </si>
  <si>
    <t>GSK211015KCP261</t>
  </si>
  <si>
    <t>GSK211015ZHU214</t>
  </si>
  <si>
    <t>GSK211015BAI031</t>
  </si>
  <si>
    <t>GSK211015BLK345</t>
  </si>
  <si>
    <t>DMD/2110/15/QMLX5901</t>
  </si>
  <si>
    <t>GSK211015SKF782</t>
  </si>
  <si>
    <t>GSK211015APS849</t>
  </si>
  <si>
    <t>GSK211015OQP345</t>
  </si>
  <si>
    <t>GSK211015YJI625</t>
  </si>
  <si>
    <t>DMD/2110/16/WLQE9076</t>
  </si>
  <si>
    <t>GSK211016FPJ493</t>
  </si>
  <si>
    <t>GSK211016PYM625</t>
  </si>
  <si>
    <t>DMD/2110/16/XDZV7194</t>
  </si>
  <si>
    <t>GSK211016RCD653</t>
  </si>
  <si>
    <t>DMD/2110/16/VLRN2537</t>
  </si>
  <si>
    <t>GSK211016VKE174</t>
  </si>
  <si>
    <t>GSK211016ALT168</t>
  </si>
  <si>
    <t>DMD/2110/16/VEFX5728</t>
  </si>
  <si>
    <t>GSK211016NBS274</t>
  </si>
  <si>
    <t>GSK211016VDF017</t>
  </si>
  <si>
    <t>GSK211016BGW140</t>
  </si>
  <si>
    <t>DMD/2110/16/TYGJ6109</t>
  </si>
  <si>
    <t>GSK211016INZ321</t>
  </si>
  <si>
    <t>GSK211012LSG302</t>
  </si>
  <si>
    <t>DMD/2110/16/POBX9567</t>
  </si>
  <si>
    <t>GSK211016JSX519</t>
  </si>
  <si>
    <t>GSK211016RGE682</t>
  </si>
  <si>
    <t>GSK211016IFA318</t>
  </si>
  <si>
    <t>GSK211016PZO471</t>
  </si>
  <si>
    <t>GSK211016EWZ426</t>
  </si>
  <si>
    <t>GSK211015LXD719</t>
  </si>
  <si>
    <t>GSK211016CHP384</t>
  </si>
  <si>
    <t>GSK211016YJA905</t>
  </si>
  <si>
    <t>GSK211015JFQ960</t>
  </si>
  <si>
    <t>GSK211014MQP395</t>
  </si>
  <si>
    <t>GSK211016KLG754</t>
  </si>
  <si>
    <t>GSK211016TGH840</t>
  </si>
  <si>
    <t>GSK211015FAB264</t>
  </si>
  <si>
    <t>GSK211016WAU591</t>
  </si>
  <si>
    <t>GSK211016RIA042</t>
  </si>
  <si>
    <t>GSK211016WVD102</t>
  </si>
  <si>
    <t>GSK211015JHI790</t>
  </si>
  <si>
    <t>GSK211016TLB361</t>
  </si>
  <si>
    <t>GSK211016EXP891</t>
  </si>
  <si>
    <t>GSK211016TBX498</t>
  </si>
  <si>
    <t>DMD/2110/17/JWEH2960</t>
  </si>
  <si>
    <t>GSK211017HZC358</t>
  </si>
  <si>
    <t>GSK211017WLX814</t>
  </si>
  <si>
    <t>GSK211015USH158</t>
  </si>
  <si>
    <t>GSK211016NBY348</t>
  </si>
  <si>
    <t>GSK211017YSG792</t>
  </si>
  <si>
    <t>GSK211016HKC194</t>
  </si>
  <si>
    <t>GSK211016LNX512</t>
  </si>
  <si>
    <t>DMD/2110/17/MQSE1509</t>
  </si>
  <si>
    <t>GSK211017QVM794</t>
  </si>
  <si>
    <t>DMD/2110/17/ISDK8301</t>
  </si>
  <si>
    <t>GSK211017GXT543</t>
  </si>
  <si>
    <t>DMD/2110/18/YIFX4758</t>
  </si>
  <si>
    <t>GSK211017DKU879</t>
  </si>
  <si>
    <t>GSK211017WYM298</t>
  </si>
  <si>
    <t>GSK211018XLZ540</t>
  </si>
  <si>
    <t>GSK211017JSZ051</t>
  </si>
  <si>
    <t>GSK211017TRN280</t>
  </si>
  <si>
    <t>GSK211017YCJ487</t>
  </si>
  <si>
    <t>DMD/2110/18/FSCJ6748</t>
  </si>
  <si>
    <t>GSK211017INY193</t>
  </si>
  <si>
    <t>GSK211016KZP423</t>
  </si>
  <si>
    <t>DMD/2110/18/VOFJ6901</t>
  </si>
  <si>
    <t>GSK211014KRI702</t>
  </si>
  <si>
    <t>DMD/2110/19/KDLZ7019</t>
  </si>
  <si>
    <t>GSK211018TLJ152</t>
  </si>
  <si>
    <t>22-Okt-21</t>
  </si>
  <si>
    <t>25/10/2021 RESTU</t>
  </si>
  <si>
    <t>GSK211019XRT527</t>
  </si>
  <si>
    <t>GSK211019RXF876</t>
  </si>
  <si>
    <t>GSK211019PXO317</t>
  </si>
  <si>
    <t>GSK211019CHQ043</t>
  </si>
  <si>
    <t>GSK211019TDN285</t>
  </si>
  <si>
    <t>GSK211019LZX270</t>
  </si>
  <si>
    <t>GSK211019END602</t>
  </si>
  <si>
    <t>GSK211019RAI874</t>
  </si>
  <si>
    <t>GSK211019UWX164</t>
  </si>
  <si>
    <t>GSK211019DHP324</t>
  </si>
  <si>
    <t>DMD/2110/19/RESM7861</t>
  </si>
  <si>
    <t>GSK211018ICX284</t>
  </si>
  <si>
    <t>GSK211019EQF029</t>
  </si>
  <si>
    <t>GSK211017QTG098</t>
  </si>
  <si>
    <t>GSK211019FPH293</t>
  </si>
  <si>
    <t>GSK211018VCZ260</t>
  </si>
  <si>
    <t>GSK211019OTF798</t>
  </si>
  <si>
    <t>DMD/2110/19/RWQL4230</t>
  </si>
  <si>
    <t>GSK211019UYZ231</t>
  </si>
  <si>
    <t>GSK211019NDT851</t>
  </si>
  <si>
    <t>GSK211018MKO205</t>
  </si>
  <si>
    <t>GSK211018FIG751</t>
  </si>
  <si>
    <t>GSK211019OTM063</t>
  </si>
  <si>
    <t>GSK211018RCY148</t>
  </si>
  <si>
    <t>GSK211019FIA413</t>
  </si>
  <si>
    <t>GSK211018LMD792</t>
  </si>
  <si>
    <t>GSK211019GFC230</t>
  </si>
  <si>
    <t>GSK211019LFM492</t>
  </si>
  <si>
    <t>GSK211018FRA406</t>
  </si>
  <si>
    <t>GSK211019XCB758</t>
  </si>
  <si>
    <t>DMD/2110/20/ADFV5418</t>
  </si>
  <si>
    <t>GSK211020XOK851</t>
  </si>
  <si>
    <t>DMD/2110/20/XAFN1275</t>
  </si>
  <si>
    <t>GSK211018BEZ569</t>
  </si>
  <si>
    <t>GSK211019JLF296</t>
  </si>
  <si>
    <t>GSK211020WJF136</t>
  </si>
  <si>
    <t>GSK211020ECN406</t>
  </si>
  <si>
    <t>GSK211019FCG237</t>
  </si>
  <si>
    <t>GSK211020UKJ296</t>
  </si>
  <si>
    <t>GSK211020AWN218</t>
  </si>
  <si>
    <t>GSK211020TNH281</t>
  </si>
  <si>
    <t>GSK211019MPV573</t>
  </si>
  <si>
    <t>GSK211018CNE540</t>
  </si>
  <si>
    <t>GSK211019CTD642</t>
  </si>
  <si>
    <t>GSK211020ZSO274</t>
  </si>
  <si>
    <t>GSK211019IET593</t>
  </si>
  <si>
    <t>GSK211020TYA791</t>
  </si>
  <si>
    <t>GSK211020UJV705</t>
  </si>
  <si>
    <t>GSK211020MBS849</t>
  </si>
  <si>
    <t>DMD/2110/20/ESHP2710</t>
  </si>
  <si>
    <t>GSK211020WAE692</t>
  </si>
  <si>
    <t>GSK211020EUW765</t>
  </si>
  <si>
    <t>GSK211020ODM857</t>
  </si>
  <si>
    <t>DMD/2110/20/YLWZ8649</t>
  </si>
  <si>
    <t>GSK211020PJB427</t>
  </si>
  <si>
    <t>GSK211020RPK082</t>
  </si>
  <si>
    <t>GSK211020XYV107</t>
  </si>
  <si>
    <t>GSK211020YAF634</t>
  </si>
  <si>
    <t>GSK211020YDT510</t>
  </si>
  <si>
    <t>GSK211020YFB241</t>
  </si>
  <si>
    <t>GSK211020JKN350</t>
  </si>
  <si>
    <t>DMD/2110/21/RZQT7956</t>
  </si>
  <si>
    <t>GSK211021AME643</t>
  </si>
  <si>
    <t>GSK211021XOU678</t>
  </si>
  <si>
    <t>GSK211021EZW562</t>
  </si>
  <si>
    <t>GSK211021ZXP183</t>
  </si>
  <si>
    <t>DMD/2110/21/JDUI9321</t>
  </si>
  <si>
    <t>GSK211020NYM302</t>
  </si>
  <si>
    <t>GSK211021WLH378</t>
  </si>
  <si>
    <t>GSK211020TUZ102</t>
  </si>
  <si>
    <t>GSK211021RFE310</t>
  </si>
  <si>
    <t>GSK211020HBJ645</t>
  </si>
  <si>
    <t>GSK211020IQK096</t>
  </si>
  <si>
    <t>GSK211021KUF123</t>
  </si>
  <si>
    <t>GSK211020RWO589</t>
  </si>
  <si>
    <t>GSK211020VSZ825</t>
  </si>
  <si>
    <t>GSK211021WGQ160</t>
  </si>
  <si>
    <t>GSK211021VLR891</t>
  </si>
  <si>
    <t>GSK211021EDN436</t>
  </si>
  <si>
    <t>GSK211019QMT653</t>
  </si>
  <si>
    <t>GSK211020HDP231</t>
  </si>
  <si>
    <t>GSK211021AOT293</t>
  </si>
  <si>
    <t>DMD/2110/21/EFQD9052</t>
  </si>
  <si>
    <t>GSK211021KCM509</t>
  </si>
  <si>
    <t>GSK211021VUW413</t>
  </si>
  <si>
    <t>GSK211020NDR153</t>
  </si>
  <si>
    <t>DMD/2110/17/AZEG6153</t>
  </si>
  <si>
    <t>DMD/2110/17/ISGR0917</t>
  </si>
  <si>
    <t>GSK211017TYU879</t>
  </si>
  <si>
    <t>GSK211017YJZ704</t>
  </si>
  <si>
    <t>GSK211017UKR736</t>
  </si>
  <si>
    <t>DMP/2110/22/YWIB3967</t>
  </si>
  <si>
    <t>GSK211022PFQ398</t>
  </si>
  <si>
    <t>23-Okt-21</t>
  </si>
  <si>
    <t>10/26/2021 RESTU</t>
  </si>
  <si>
    <t>GSK211022TAQ295</t>
  </si>
  <si>
    <t>DMD/2110/22/YNGK4856</t>
  </si>
  <si>
    <t>GSK211022CVK037</t>
  </si>
  <si>
    <t>GSK211022OKL802</t>
  </si>
  <si>
    <t>GSK211022ZNY460</t>
  </si>
  <si>
    <t>GSK211022BSK518</t>
  </si>
  <si>
    <t>GSK211022XFG524</t>
  </si>
  <si>
    <t>GSK211022FHM723</t>
  </si>
  <si>
    <t>GSK211022IUG986</t>
  </si>
  <si>
    <t>GSK211021VLG218</t>
  </si>
  <si>
    <t>GSK211022LCQ219</t>
  </si>
  <si>
    <t>GSK211022ZDK812</t>
  </si>
  <si>
    <t>GSK211022ZRO841</t>
  </si>
  <si>
    <t>GSK211022NPS147</t>
  </si>
  <si>
    <t>GSK211020CYA509</t>
  </si>
  <si>
    <t>GSK211022VFZ071</t>
  </si>
  <si>
    <t>GSK211020BXK150</t>
  </si>
  <si>
    <t>GSK211020JIH846</t>
  </si>
  <si>
    <t>GSK211021BSQ371</t>
  </si>
  <si>
    <t>GSK211022AVY650</t>
  </si>
  <si>
    <t>GSK211021FUB293</t>
  </si>
  <si>
    <t>GSK211022SBU306</t>
  </si>
  <si>
    <t>DMD/2110/22/THLD2374</t>
  </si>
  <si>
    <t>GSK211022LFO670</t>
  </si>
  <si>
    <t>GSK211022IEM381</t>
  </si>
  <si>
    <t>GSK211022FRI390</t>
  </si>
  <si>
    <t>GSK211021ZWY597</t>
  </si>
  <si>
    <t>DMD/2110/23/PKXS1735</t>
  </si>
  <si>
    <t>GSK211023KPB813</t>
  </si>
  <si>
    <t>GSK211023FWI837</t>
  </si>
  <si>
    <t>DMD/2110/23/UMPI6257</t>
  </si>
  <si>
    <t>GSK211023APV592</t>
  </si>
  <si>
    <t>DMD/2110/23/FMEG9175</t>
  </si>
  <si>
    <t>GSK211021VAY730</t>
  </si>
  <si>
    <t>GSK211022AUT274</t>
  </si>
  <si>
    <t>GSK211022LHZ869</t>
  </si>
  <si>
    <t>GSK211022ZPK152</t>
  </si>
  <si>
    <t>GSK211022AGW086</t>
  </si>
  <si>
    <t>GSK211023ZYI801</t>
  </si>
  <si>
    <t>GSK211021JKW192</t>
  </si>
  <si>
    <t>GSK211023EBH732</t>
  </si>
  <si>
    <t>GSK211023DHC615</t>
  </si>
  <si>
    <t>GSK211023MNJ479</t>
  </si>
  <si>
    <t>GSK211023NFI760</t>
  </si>
  <si>
    <t>GSK211023BUD520</t>
  </si>
  <si>
    <t>GSK211023BMK263</t>
  </si>
  <si>
    <t>GSK211023ZAB749</t>
  </si>
  <si>
    <t>GSK211023JLQ802</t>
  </si>
  <si>
    <t>GSK211023CYZ107</t>
  </si>
  <si>
    <t>GSK211023IKC973</t>
  </si>
  <si>
    <t>GSK211022PQU905</t>
  </si>
  <si>
    <t>GSK211022BCK172</t>
  </si>
  <si>
    <t>DMD/2110/23/HOBR5436</t>
  </si>
  <si>
    <t>GSK211023WSR841</t>
  </si>
  <si>
    <t>DMD/2110/23/OSEW6734</t>
  </si>
  <si>
    <t>GSK211023GSM678</t>
  </si>
  <si>
    <t>GSK211023PWT501</t>
  </si>
  <si>
    <t>GSK211023OKQ054</t>
  </si>
  <si>
    <t>GSK211023KPQ529</t>
  </si>
  <si>
    <t>GSK211023EFA917</t>
  </si>
  <si>
    <t>GSK211023RZM603</t>
  </si>
  <si>
    <t>GSK211023SIJ978</t>
  </si>
  <si>
    <t>GSK211023QAI128</t>
  </si>
  <si>
    <t>GSK211023MJK054</t>
  </si>
  <si>
    <t>GSK211023TIN651</t>
  </si>
  <si>
    <t>GSK211023BRI675</t>
  </si>
  <si>
    <t>GSK211023CDL830</t>
  </si>
  <si>
    <t>GSK211023UHB936</t>
  </si>
  <si>
    <t>DMD/2110/24/PEIM2570</t>
  </si>
  <si>
    <t>GSK211024ADM047</t>
  </si>
  <si>
    <t>Gab. Paket Kota</t>
  </si>
  <si>
    <t>24-Okt-21</t>
  </si>
  <si>
    <t>27-Okt-21</t>
  </si>
  <si>
    <t>29/10/2021 RESTU</t>
  </si>
  <si>
    <t>DMD/2110/24/SBGH0283</t>
  </si>
  <si>
    <t>GSK211024QWS490</t>
  </si>
  <si>
    <t>GSK211024GOS681</t>
  </si>
  <si>
    <t>GSK211024GFQ364</t>
  </si>
  <si>
    <t>GSK211024AMR310</t>
  </si>
  <si>
    <t>GSK211024WQD310</t>
  </si>
  <si>
    <t>GSK211024UKZ954</t>
  </si>
  <si>
    <t>GSK211024ZSL903</t>
  </si>
  <si>
    <t>GSK211024GUL834</t>
  </si>
  <si>
    <t>GSK211023BSK902</t>
  </si>
  <si>
    <t>GSK211023LTD039</t>
  </si>
  <si>
    <t>GSK211023MTO710</t>
  </si>
  <si>
    <t>GSK211022AZV391</t>
  </si>
  <si>
    <t>GSK211023KIJ925</t>
  </si>
  <si>
    <t>GSK211024VUO083</t>
  </si>
  <si>
    <t>DMD/2110/24/LIYJ3149</t>
  </si>
  <si>
    <t>GSK211023ZEC517</t>
  </si>
  <si>
    <t>GSK211023RYW759</t>
  </si>
  <si>
    <t>GSK211024PND751</t>
  </si>
  <si>
    <t>GSK211023KQA082</t>
  </si>
  <si>
    <t>GSK211024TWR346</t>
  </si>
  <si>
    <t>GSK211023QFI126</t>
  </si>
  <si>
    <t>GSK211023SCY938</t>
  </si>
  <si>
    <t>DMD/2110/25/HRSF2048</t>
  </si>
  <si>
    <t>GSK211024DYT986</t>
  </si>
  <si>
    <t>25-Okt-21</t>
  </si>
  <si>
    <t>DMD/2110/25/QVEF0973</t>
  </si>
  <si>
    <t>GSK211025HJD654</t>
  </si>
  <si>
    <t>DMD/2110/25/FXUP1605</t>
  </si>
  <si>
    <t>GSK211025MPI790</t>
  </si>
  <si>
    <t>GSK211025KAO756</t>
  </si>
  <si>
    <t>GSK211025GKS067</t>
  </si>
  <si>
    <t>GSK211024QUC567</t>
  </si>
  <si>
    <t>GSK211023NBQ450</t>
  </si>
  <si>
    <t>GSK211023KOL375</t>
  </si>
  <si>
    <t>GSK211025EPU473</t>
  </si>
  <si>
    <t>DMD/2110/26/ORTJ2785</t>
  </si>
  <si>
    <t>GSK211026OUD198</t>
  </si>
  <si>
    <t>26-Okt-21</t>
  </si>
  <si>
    <t>GSK211026CAT847</t>
  </si>
  <si>
    <t>GSK211026LCP467</t>
  </si>
  <si>
    <t>GSK211026ZVP308</t>
  </si>
  <si>
    <t>GSK211026ZMB146</t>
  </si>
  <si>
    <t>GSK211026EMS854</t>
  </si>
  <si>
    <t>GSK211026WZN685</t>
  </si>
  <si>
    <t>GSK211026VSR382</t>
  </si>
  <si>
    <t>GSK211026WAM378</t>
  </si>
  <si>
    <t>GSK211026YUC784</t>
  </si>
  <si>
    <t>GSK211026OLH367</t>
  </si>
  <si>
    <t>GSK211026RYB571</t>
  </si>
  <si>
    <t>DMD/2110/26/XYPU0154</t>
  </si>
  <si>
    <t>GSK211025YWO963</t>
  </si>
  <si>
    <t>GSK211023GCV568</t>
  </si>
  <si>
    <t>GSK211026XCD804</t>
  </si>
  <si>
    <t>DMD/2110/26/EGXM5147</t>
  </si>
  <si>
    <t>GSK211026BJL389</t>
  </si>
  <si>
    <t>GSK211026KYQ230</t>
  </si>
  <si>
    <t>GSK211026IZU840</t>
  </si>
  <si>
    <t>GSK211026XLD745</t>
  </si>
  <si>
    <t>GSK211026CSO395</t>
  </si>
  <si>
    <t>DMD/2110/26/HMRJ0623</t>
  </si>
  <si>
    <t>GSK211026ULK910</t>
  </si>
  <si>
    <t>DMD/2110/26/TDAU6932</t>
  </si>
  <si>
    <t>GSK211026VUW894</t>
  </si>
  <si>
    <t>31/10/2021 RESTU</t>
  </si>
  <si>
    <t>GSK211025LKB016</t>
  </si>
  <si>
    <t>GSK211025EJW723</t>
  </si>
  <si>
    <t>DMD/2110/26/PUWC1583</t>
  </si>
  <si>
    <t>GSK211026NRB091</t>
  </si>
  <si>
    <t>DMD/2110/27/ZJHU6497</t>
  </si>
  <si>
    <t>GSK211027UAR983</t>
  </si>
  <si>
    <t>GSK211027GJD309</t>
  </si>
  <si>
    <t>DMD/2110/27/DMSX9368</t>
  </si>
  <si>
    <t>GSK211027LYS264</t>
  </si>
  <si>
    <t>GSK211027FPR197</t>
  </si>
  <si>
    <t>GSK211027WLS967</t>
  </si>
  <si>
    <t>GSK211027BJQ973</t>
  </si>
  <si>
    <t>GSK211027KCN548</t>
  </si>
  <si>
    <t>GSK211027HCX034</t>
  </si>
  <si>
    <t>GSK211027ICX231</t>
  </si>
  <si>
    <t>GSK211027JSP805</t>
  </si>
  <si>
    <t>DMD/2110/27/KUXY4231</t>
  </si>
  <si>
    <t>GSK211027VWM403</t>
  </si>
  <si>
    <t>GSK211027GNV084</t>
  </si>
  <si>
    <t>DMD/2110/27/ORMS5103</t>
  </si>
  <si>
    <t>GSK211027UXB469</t>
  </si>
  <si>
    <t>DMD/2110/27/QNIV3157</t>
  </si>
  <si>
    <t>GSK211027NAS584</t>
  </si>
  <si>
    <t>GSK211027QFO956</t>
  </si>
  <si>
    <t>GSK211027PMH398</t>
  </si>
  <si>
    <t>GSK211027LJM854</t>
  </si>
  <si>
    <t>DMD/2110/28/LMZV5923</t>
  </si>
  <si>
    <t>GSK211028SOB945</t>
  </si>
  <si>
    <t>28-Okt-21</t>
  </si>
  <si>
    <t>GSK211028VYG872</t>
  </si>
  <si>
    <t>GSK211028BYR185</t>
  </si>
  <si>
    <t>GSK211028RQL760</t>
  </si>
  <si>
    <t>DMD/2110/28/YDRJ8096</t>
  </si>
  <si>
    <t>GSK211028ELB490</t>
  </si>
  <si>
    <t>GSK211027JIR706</t>
  </si>
  <si>
    <t>GSK211026GLE746</t>
  </si>
  <si>
    <t>GSK211026JOE251</t>
  </si>
  <si>
    <t>GSK211028UJQ502</t>
  </si>
  <si>
    <t>GSK211028ZIJ659</t>
  </si>
  <si>
    <t>GSK211028LOR837</t>
  </si>
  <si>
    <t>GSK211028GIU109</t>
  </si>
  <si>
    <t>GSK211028BRE164</t>
  </si>
  <si>
    <t>GSK211028RXT258</t>
  </si>
  <si>
    <t>GSK211028NHB138</t>
  </si>
  <si>
    <t>GSK211028OFG067</t>
  </si>
  <si>
    <t>GSK211028QLW681</t>
  </si>
  <si>
    <t>GSK211027SZB716</t>
  </si>
  <si>
    <t>GSK211026GMX403</t>
  </si>
  <si>
    <t>GSK211028ZBI250</t>
  </si>
  <si>
    <t>DMD/2110/28/CVUE6372</t>
  </si>
  <si>
    <t>GSK211028XVW798</t>
  </si>
  <si>
    <t>GSK211028DOY814</t>
  </si>
  <si>
    <t>DMD/2110/28/LIHG0247</t>
  </si>
  <si>
    <t>GSK211028OQE829</t>
  </si>
  <si>
    <t>GSK211028QPM830</t>
  </si>
  <si>
    <t>GSK211028SYT356</t>
  </si>
  <si>
    <t>GSK211028VDR461</t>
  </si>
  <si>
    <t>GSK211028BXO502</t>
  </si>
  <si>
    <t>GSK211028NDM893</t>
  </si>
  <si>
    <t>DMD/2110/29/JRXG2174</t>
  </si>
  <si>
    <t>GSK211029UEB725</t>
  </si>
  <si>
    <t>29-Okt-21</t>
  </si>
  <si>
    <t>3/11/2021 RESTU</t>
  </si>
  <si>
    <t>GSK211029AGZ530</t>
  </si>
  <si>
    <t>GSK211029LNR083</t>
  </si>
  <si>
    <t>GSK211029PHW652</t>
  </si>
  <si>
    <t>DMD/2110/29/ORTG9412</t>
  </si>
  <si>
    <t>GSK211029NTY935</t>
  </si>
  <si>
    <t>DMD/2110/29/UBLZ1795</t>
  </si>
  <si>
    <t>GSK211029MXA405</t>
  </si>
  <si>
    <t>GSK211029QSN547</t>
  </si>
  <si>
    <t>GSK211029NBH438</t>
  </si>
  <si>
    <t>GSK211029XMH986</t>
  </si>
  <si>
    <t>GSK211028MWK037</t>
  </si>
  <si>
    <t>GSK211028EKB243</t>
  </si>
  <si>
    <t>GSK211028JIB527</t>
  </si>
  <si>
    <t>GSK211028EPH642</t>
  </si>
  <si>
    <t>GSK211029ZKQ169</t>
  </si>
  <si>
    <t>GSK211029UFM472</t>
  </si>
  <si>
    <t>GSK211029AEQ587</t>
  </si>
  <si>
    <t>GSK211029JGV984</t>
  </si>
  <si>
    <t>GSK211029XSQ102</t>
  </si>
  <si>
    <t>GSK211028VJW948</t>
  </si>
  <si>
    <t>GSK211029XON260</t>
  </si>
  <si>
    <t>GSK211029PBV835</t>
  </si>
  <si>
    <t>GSK211029PKO895</t>
  </si>
  <si>
    <t>DMD/2110/29/TWEL6175</t>
  </si>
  <si>
    <t>GSK211029COE927</t>
  </si>
  <si>
    <t>GSK211029UHX354</t>
  </si>
  <si>
    <t>GSK211029MIO594</t>
  </si>
  <si>
    <t>DMD/2110/29/MDHO5203</t>
  </si>
  <si>
    <t>GSK211029DRS493</t>
  </si>
  <si>
    <t>GSK211029ALZ678</t>
  </si>
  <si>
    <t>GSK211029BSM083</t>
  </si>
  <si>
    <t>GSK211029CVD713</t>
  </si>
  <si>
    <t>GSK211029HQR425</t>
  </si>
  <si>
    <t>GSK211029VFU987</t>
  </si>
  <si>
    <t>GSK211029CAM491</t>
  </si>
  <si>
    <t>GSK211029SKB620</t>
  </si>
  <si>
    <t>GSK211029USR761</t>
  </si>
  <si>
    <t>GSK211029CZK705</t>
  </si>
  <si>
    <t>DMD/2110/30/DFAS7425</t>
  </si>
  <si>
    <t>GSK211030RBQ384</t>
  </si>
  <si>
    <t>DMD/2110/30/NWHA7241</t>
  </si>
  <si>
    <t>GSK211030HQA269</t>
  </si>
  <si>
    <t>GSK211030GBO341</t>
  </si>
  <si>
    <t>GSK211030ISV731</t>
  </si>
  <si>
    <t>GSK211029IBP824</t>
  </si>
  <si>
    <t>GSK211029QOL972</t>
  </si>
  <si>
    <t>GSK211030AFO913</t>
  </si>
  <si>
    <t>GSK211029LZO174</t>
  </si>
  <si>
    <t>GSK211030EKH723</t>
  </si>
  <si>
    <t>GSK211030GPW932</t>
  </si>
  <si>
    <t>GSK211030MQK743</t>
  </si>
  <si>
    <t>GSK211030WAY973</t>
  </si>
  <si>
    <t>GSK211030ZOM210</t>
  </si>
  <si>
    <t>GSK211030PON249</t>
  </si>
  <si>
    <t>GSK211028GIY693</t>
  </si>
  <si>
    <t>GSK211030FCB467</t>
  </si>
  <si>
    <t>GSK211029XWT406</t>
  </si>
  <si>
    <t>GSK211030LVY024</t>
  </si>
  <si>
    <t>GSK211029TYA967</t>
  </si>
  <si>
    <t>GSK211029RGK246</t>
  </si>
  <si>
    <t>GSK211030EOI537</t>
  </si>
  <si>
    <t>GSK211030WTG630</t>
  </si>
  <si>
    <t>GSK211030CMZ490</t>
  </si>
  <si>
    <t>DMD/2110/30/YLXC1854</t>
  </si>
  <si>
    <t>GSK211029ZIQ236</t>
  </si>
  <si>
    <t>GSK211029SYD910</t>
  </si>
  <si>
    <t>GSK211030TIU514</t>
  </si>
  <si>
    <t>DMD/2110/31/EMQS1893</t>
  </si>
  <si>
    <t>GSK211031GPY129</t>
  </si>
  <si>
    <t>DMD/2110/31/TVBU9865</t>
  </si>
  <si>
    <t>GSK211031BCY108</t>
  </si>
  <si>
    <t>GSK211031XTQ308</t>
  </si>
  <si>
    <t>GSK211031WCM715</t>
  </si>
  <si>
    <t>GSK211031QRX623</t>
  </si>
  <si>
    <t>GSK211031RNB618</t>
  </si>
  <si>
    <t>GSK211031FNK569</t>
  </si>
  <si>
    <t>GSK211031RTJ961</t>
  </si>
  <si>
    <t>GSK211031RFI459</t>
  </si>
  <si>
    <t>GSK211031DOV067</t>
  </si>
  <si>
    <t>GSK211031VUT695</t>
  </si>
  <si>
    <t>GSK211030OKG983</t>
  </si>
  <si>
    <t>GSK211031TIE604</t>
  </si>
  <si>
    <t>GSK211031ONA354</t>
  </si>
  <si>
    <t>GSK211031OPM451</t>
  </si>
  <si>
    <t>GSK211031TBK281</t>
  </si>
  <si>
    <t>GSK211031TSL096</t>
  </si>
  <si>
    <t>DMD/2110/31/DUNZ6358</t>
  </si>
  <si>
    <t>GSK211030HMF579</t>
  </si>
  <si>
    <t>GSK211031DKM328</t>
  </si>
  <si>
    <t>DMD/2110/31/KMGT8349</t>
  </si>
  <si>
    <t>GSK211030DCZ729</t>
  </si>
  <si>
    <t>GSK211029WSX170</t>
  </si>
  <si>
    <t>GSK211029RTS859</t>
  </si>
  <si>
    <t>GSK211031QEL289</t>
  </si>
  <si>
    <t>GSK211031VEN165</t>
  </si>
  <si>
    <t>GSK211031KFU857</t>
  </si>
  <si>
    <t>GSK211031OHC560</t>
  </si>
  <si>
    <t>GSK211031VFP841</t>
  </si>
  <si>
    <t>GSK211030PJM415</t>
  </si>
  <si>
    <t>GSK211031THA236</t>
  </si>
  <si>
    <t>GSK211031PUD098</t>
  </si>
  <si>
    <t>PENGIRIMAN BARANG TUJUAN BATAM</t>
  </si>
  <si>
    <t xml:space="preserve"> 15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</si>
  <si>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Seratus Juta Lima Ratus Sembilan Puluh Sembilan Ribu Seratus Enam Puluh Delapan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</si>
</sst>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4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18" fillId="0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1" fontId="1" fillId="0" borderId="2" xfId="0" applyNumberFormat="1" applyFont="1" applyBorder="1" applyAlignment="1">
      <alignment vertical="center" wrapText="1"/>
    </xf>
    <xf numFmtId="1" fontId="1" fillId="0" borderId="2" xfId="0" applyNumberFormat="1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vertical="center" wrapText="1"/>
    </xf>
    <xf numFmtId="1" fontId="1" fillId="0" borderId="3" xfId="0" applyNumberFormat="1" applyFont="1" applyBorder="1" applyAlignment="1">
      <alignment vertical="center" wrapText="1"/>
    </xf>
    <xf numFmtId="1" fontId="1" fillId="0" borderId="3" xfId="0" applyNumberFormat="1" applyFont="1" applyBorder="1" applyAlignment="1">
      <alignment horizontal="left" vertical="center" wrapText="1"/>
    </xf>
    <xf numFmtId="1" fontId="18" fillId="0" borderId="1" xfId="0" applyNumberFormat="1" applyFont="1" applyFill="1" applyBorder="1" applyAlignment="1">
      <alignment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left" vertical="center" wrapText="1"/>
    </xf>
    <xf numFmtId="1" fontId="9" fillId="4" borderId="1" xfId="0" quotePrefix="1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92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7</xdr:col>
      <xdr:colOff>9525</xdr:colOff>
      <xdr:row>89</xdr:row>
      <xdr:rowOff>20354</xdr:rowOff>
    </xdr:from>
    <xdr:to>
      <xdr:col>10</xdr:col>
      <xdr:colOff>419100</xdr:colOff>
      <xdr:row>95</xdr:row>
      <xdr:rowOff>66674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404063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23" totalsRowShown="0" headerRowDxfId="925" dataDxfId="923" headerRowBorderDxfId="924">
  <tableColumns count="12">
    <tableColumn id="1" name="NOMOR" dataDxfId="922" dataCellStyle="Normal"/>
    <tableColumn id="3" name="TUJUAN" dataDxfId="921" dataCellStyle="Normal"/>
    <tableColumn id="16" name="Pick Up" dataDxfId="920"/>
    <tableColumn id="14" name="KAPAL" dataDxfId="919"/>
    <tableColumn id="15" name="ETD Kapal" dataDxfId="918"/>
    <tableColumn id="10" name="KETERANGAN" dataDxfId="917" dataCellStyle="Normal"/>
    <tableColumn id="5" name="P" dataDxfId="916" dataCellStyle="Normal"/>
    <tableColumn id="6" name="L" dataDxfId="915" dataCellStyle="Normal"/>
    <tableColumn id="7" name="T" dataDxfId="914" dataCellStyle="Normal"/>
    <tableColumn id="4" name="ACT KG" dataDxfId="913" dataCellStyle="Normal"/>
    <tableColumn id="8" name="KG VOLUME" dataDxfId="912" dataCellStyle="Normal"/>
    <tableColumn id="19" name="PEMBULATAN" dataDxfId="911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20" totalsRowShown="0" headerRowDxfId="767" dataDxfId="765" headerRowBorderDxfId="766">
  <tableColumns count="12">
    <tableColumn id="1" name="NOMOR" dataDxfId="764" dataCellStyle="Normal"/>
    <tableColumn id="3" name="TUJUAN" dataDxfId="763" dataCellStyle="Normal"/>
    <tableColumn id="16" name="Pick Up" dataDxfId="762"/>
    <tableColumn id="14" name="KAPAL" dataDxfId="761"/>
    <tableColumn id="15" name="ETD Kapal" dataDxfId="760"/>
    <tableColumn id="10" name="KETERANGAN" dataDxfId="759" dataCellStyle="Normal"/>
    <tableColumn id="5" name="P" dataDxfId="758" dataCellStyle="Normal"/>
    <tableColumn id="6" name="L" dataDxfId="757" dataCellStyle="Normal"/>
    <tableColumn id="7" name="T" dataDxfId="756" dataCellStyle="Normal"/>
    <tableColumn id="4" name="ACT KG" dataDxfId="755" dataCellStyle="Normal"/>
    <tableColumn id="8" name="KG VOLUME" dataDxfId="754" dataCellStyle="Normal"/>
    <tableColumn id="19" name="PEMBULATAN" dataDxfId="753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4" totalsRowShown="0" headerRowDxfId="750" dataDxfId="748" headerRowBorderDxfId="749">
  <tableColumns count="12">
    <tableColumn id="1" name="NOMOR" dataDxfId="747" dataCellStyle="Normal"/>
    <tableColumn id="3" name="TUJUAN" dataDxfId="746" dataCellStyle="Normal"/>
    <tableColumn id="16" name="Pick Up" dataDxfId="745"/>
    <tableColumn id="14" name="KAPAL" dataDxfId="744"/>
    <tableColumn id="15" name="ETD Kapal" dataDxfId="743"/>
    <tableColumn id="10" name="KETERANGAN" dataDxfId="742" dataCellStyle="Normal"/>
    <tableColumn id="5" name="P" dataDxfId="741" dataCellStyle="Normal"/>
    <tableColumn id="6" name="L" dataDxfId="740" dataCellStyle="Normal"/>
    <tableColumn id="7" name="T" dataDxfId="739" dataCellStyle="Normal"/>
    <tableColumn id="4" name="ACT KG" dataDxfId="738" dataCellStyle="Normal"/>
    <tableColumn id="8" name="KG VOLUME" dataDxfId="737" dataCellStyle="Normal"/>
    <tableColumn id="19" name="PEMBULATAN" dataDxfId="736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11213" displayName="Table224578910112345678910111213" ref="C2:N20" totalsRowShown="0" headerRowDxfId="732" dataDxfId="730" headerRowBorderDxfId="731">
  <tableColumns count="12">
    <tableColumn id="1" name="NOMOR" dataDxfId="729" dataCellStyle="Normal"/>
    <tableColumn id="3" name="TUJUAN" dataDxfId="728" dataCellStyle="Normal"/>
    <tableColumn id="16" name="Pick Up" dataDxfId="727"/>
    <tableColumn id="14" name="KAPAL" dataDxfId="726"/>
    <tableColumn id="15" name="ETD Kapal" dataDxfId="725"/>
    <tableColumn id="10" name="KETERANGAN" dataDxfId="724" dataCellStyle="Normal"/>
    <tableColumn id="5" name="P" dataDxfId="723" dataCellStyle="Normal"/>
    <tableColumn id="6" name="L" dataDxfId="722" dataCellStyle="Normal"/>
    <tableColumn id="7" name="T" dataDxfId="721" dataCellStyle="Normal"/>
    <tableColumn id="4" name="ACT KG" dataDxfId="720" dataCellStyle="Normal"/>
    <tableColumn id="8" name="KG VOLUME" dataDxfId="719" dataCellStyle="Normal"/>
    <tableColumn id="19" name="PEMBULATAN" dataDxfId="718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10" totalsRowShown="0" headerRowDxfId="714" dataDxfId="712" headerRowBorderDxfId="713">
  <tableColumns count="12">
    <tableColumn id="1" name="NOMOR" dataDxfId="711" dataCellStyle="Normal"/>
    <tableColumn id="3" name="TUJUAN" dataDxfId="710" dataCellStyle="Normal"/>
    <tableColumn id="16" name="Pick Up" dataDxfId="709"/>
    <tableColumn id="14" name="KAPAL" dataDxfId="708"/>
    <tableColumn id="15" name="ETD Kapal" dataDxfId="707"/>
    <tableColumn id="10" name="KETERANGAN" dataDxfId="706" dataCellStyle="Normal"/>
    <tableColumn id="5" name="P" dataDxfId="705" dataCellStyle="Normal"/>
    <tableColumn id="6" name="L" dataDxfId="704" dataCellStyle="Normal"/>
    <tableColumn id="7" name="T" dataDxfId="703" dataCellStyle="Normal"/>
    <tableColumn id="4" name="ACT KG" dataDxfId="702" dataCellStyle="Normal"/>
    <tableColumn id="8" name="KG VOLUME" dataDxfId="701" dataCellStyle="Normal"/>
    <tableColumn id="19" name="PEMBULATAN" dataDxfId="700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789101123456789101112131415" displayName="Table2245789101123456789101112131415" ref="C2:N27" totalsRowShown="0" headerRowDxfId="697" dataDxfId="695" headerRowBorderDxfId="696">
  <tableColumns count="12">
    <tableColumn id="1" name="NOMOR" dataDxfId="694" dataCellStyle="Normal"/>
    <tableColumn id="3" name="TUJUAN" dataDxfId="693" dataCellStyle="Normal"/>
    <tableColumn id="16" name="Pick Up" dataDxfId="692"/>
    <tableColumn id="14" name="KAPAL" dataDxfId="691"/>
    <tableColumn id="15" name="ETD Kapal" dataDxfId="690"/>
    <tableColumn id="10" name="KETERANGAN" dataDxfId="689" dataCellStyle="Normal"/>
    <tableColumn id="5" name="P" dataDxfId="688" dataCellStyle="Normal"/>
    <tableColumn id="6" name="L" dataDxfId="687" dataCellStyle="Normal"/>
    <tableColumn id="7" name="T" dataDxfId="686" dataCellStyle="Normal"/>
    <tableColumn id="4" name="ACT KG" dataDxfId="685" dataCellStyle="Normal"/>
    <tableColumn id="8" name="KG VOLUME" dataDxfId="684" dataCellStyle="Normal"/>
    <tableColumn id="19" name="PEMBULATAN" dataDxfId="683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78910112345678910111213141516" displayName="Table224578910112345678910111213141516" ref="C2:N29" totalsRowShown="0" headerRowDxfId="680" dataDxfId="678" headerRowBorderDxfId="679">
  <tableColumns count="12">
    <tableColumn id="1" name="NOMOR" dataDxfId="677" dataCellStyle="Normal"/>
    <tableColumn id="3" name="TUJUAN" dataDxfId="676" dataCellStyle="Normal"/>
    <tableColumn id="16" name="Pick Up" dataDxfId="675"/>
    <tableColumn id="14" name="KAPAL" dataDxfId="674"/>
    <tableColumn id="15" name="ETD Kapal" dataDxfId="673"/>
    <tableColumn id="10" name="KETERANGAN" dataDxfId="672" dataCellStyle="Normal"/>
    <tableColumn id="5" name="P" dataDxfId="671" dataCellStyle="Normal"/>
    <tableColumn id="6" name="L" dataDxfId="670" dataCellStyle="Normal"/>
    <tableColumn id="7" name="T" dataDxfId="669" dataCellStyle="Normal"/>
    <tableColumn id="4" name="ACT KG" dataDxfId="668" dataCellStyle="Normal"/>
    <tableColumn id="8" name="KG VOLUME" dataDxfId="667" dataCellStyle="Normal"/>
    <tableColumn id="19" name="PEMBULATAN" dataDxfId="666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7891011234567891011121314151617" displayName="Table22457891011234567891011121314151617" ref="C2:N12" totalsRowShown="0" headerRowDxfId="663" dataDxfId="661" headerRowBorderDxfId="662">
  <tableColumns count="12">
    <tableColumn id="1" name="NOMOR" dataDxfId="660" dataCellStyle="Normal"/>
    <tableColumn id="3" name="TUJUAN" dataDxfId="659" dataCellStyle="Normal"/>
    <tableColumn id="16" name="Pick Up" dataDxfId="658"/>
    <tableColumn id="14" name="KAPAL" dataDxfId="657"/>
    <tableColumn id="15" name="ETD Kapal" dataDxfId="656"/>
    <tableColumn id="10" name="KETERANGAN" dataDxfId="655" dataCellStyle="Normal"/>
    <tableColumn id="5" name="P" dataDxfId="654" dataCellStyle="Normal"/>
    <tableColumn id="6" name="L" dataDxfId="653" dataCellStyle="Normal"/>
    <tableColumn id="7" name="T" dataDxfId="652" dataCellStyle="Normal"/>
    <tableColumn id="4" name="ACT KG" dataDxfId="651" dataCellStyle="Normal"/>
    <tableColumn id="8" name="KG VOLUME" dataDxfId="650" dataCellStyle="Normal"/>
    <tableColumn id="19" name="PEMBULATAN" dataDxfId="649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789101123456789101112131415161718" displayName="Table2245789101123456789101112131415161718" ref="C2:N28" totalsRowShown="0" headerRowDxfId="646" dataDxfId="644" headerRowBorderDxfId="645">
  <tableColumns count="12">
    <tableColumn id="1" name="NOMOR" dataDxfId="643" dataCellStyle="Normal"/>
    <tableColumn id="3" name="TUJUAN" dataDxfId="642" dataCellStyle="Normal"/>
    <tableColumn id="16" name="Pick Up" dataDxfId="641"/>
    <tableColumn id="14" name="KAPAL" dataDxfId="640"/>
    <tableColumn id="15" name="ETD Kapal" dataDxfId="639"/>
    <tableColumn id="10" name="KETERANGAN" dataDxfId="638" dataCellStyle="Normal"/>
    <tableColumn id="5" name="P" dataDxfId="637" dataCellStyle="Normal"/>
    <tableColumn id="6" name="L" dataDxfId="636" dataCellStyle="Normal"/>
    <tableColumn id="7" name="T" dataDxfId="635" dataCellStyle="Normal"/>
    <tableColumn id="4" name="ACT KG" dataDxfId="634" dataCellStyle="Normal"/>
    <tableColumn id="8" name="KG VOLUME" dataDxfId="633" dataCellStyle="Normal"/>
    <tableColumn id="19" name="PEMBULATAN" dataDxfId="632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8" name="Table224578910112345678910111213141516171819" displayName="Table224578910112345678910111213141516171819" ref="C2:N17" totalsRowShown="0" headerRowDxfId="629" dataDxfId="627" headerRowBorderDxfId="628">
  <tableColumns count="12">
    <tableColumn id="1" name="NOMOR" dataDxfId="626" dataCellStyle="Normal"/>
    <tableColumn id="3" name="TUJUAN" dataDxfId="625" dataCellStyle="Normal"/>
    <tableColumn id="16" name="Pick Up" dataDxfId="624"/>
    <tableColumn id="14" name="KAPAL" dataDxfId="623"/>
    <tableColumn id="15" name="ETD Kapal" dataDxfId="622"/>
    <tableColumn id="10" name="KETERANGAN" dataDxfId="621" dataCellStyle="Normal"/>
    <tableColumn id="5" name="P" dataDxfId="620" dataCellStyle="Normal"/>
    <tableColumn id="6" name="L" dataDxfId="619" dataCellStyle="Normal"/>
    <tableColumn id="7" name="T" dataDxfId="618" dataCellStyle="Normal"/>
    <tableColumn id="4" name="ACT KG" dataDxfId="617" dataCellStyle="Normal"/>
    <tableColumn id="8" name="KG VOLUME" dataDxfId="616" dataCellStyle="Normal"/>
    <tableColumn id="19" name="PEMBULATAN" dataDxfId="615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9" name="Table22457891011234567891011121314151617181920" displayName="Table22457891011234567891011121314151617181920" ref="C2:N6" totalsRowShown="0" headerRowDxfId="611" dataDxfId="609" headerRowBorderDxfId="610">
  <tableColumns count="12">
    <tableColumn id="1" name="NOMOR" dataDxfId="608" dataCellStyle="Normal"/>
    <tableColumn id="3" name="TUJUAN" dataDxfId="607" dataCellStyle="Normal"/>
    <tableColumn id="16" name="Pick Up" dataDxfId="606"/>
    <tableColumn id="14" name="KAPAL" dataDxfId="605"/>
    <tableColumn id="15" name="ETD Kapal" dataDxfId="604"/>
    <tableColumn id="10" name="KETERANGAN" dataDxfId="603" dataCellStyle="Normal"/>
    <tableColumn id="5" name="P" dataDxfId="602" dataCellStyle="Normal"/>
    <tableColumn id="6" name="L" dataDxfId="601" dataCellStyle="Normal"/>
    <tableColumn id="7" name="T" dataDxfId="600" dataCellStyle="Normal"/>
    <tableColumn id="4" name="ACT KG" dataDxfId="599" dataCellStyle="Normal"/>
    <tableColumn id="8" name="KG VOLUME" dataDxfId="598" dataCellStyle="Normal"/>
    <tableColumn id="19" name="PEMBULATAN" dataDxfId="59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29" totalsRowShown="0" headerRowDxfId="907" dataDxfId="905" headerRowBorderDxfId="906">
  <tableColumns count="12">
    <tableColumn id="1" name="NOMOR" dataDxfId="904" dataCellStyle="Normal"/>
    <tableColumn id="3" name="TUJUAN" dataDxfId="903" dataCellStyle="Normal"/>
    <tableColumn id="16" name="Pick Up" dataDxfId="902"/>
    <tableColumn id="14" name="KAPAL" dataDxfId="901"/>
    <tableColumn id="15" name="ETD Kapal" dataDxfId="900"/>
    <tableColumn id="10" name="KETERANGAN" dataDxfId="899" dataCellStyle="Normal"/>
    <tableColumn id="5" name="P" dataDxfId="898" dataCellStyle="Normal"/>
    <tableColumn id="6" name="L" dataDxfId="897" dataCellStyle="Normal"/>
    <tableColumn id="7" name="T" dataDxfId="896" dataCellStyle="Normal"/>
    <tableColumn id="4" name="ACT KG" dataDxfId="895" dataCellStyle="Normal"/>
    <tableColumn id="8" name="KG VOLUME" dataDxfId="894" dataCellStyle="Normal"/>
    <tableColumn id="19" name="PEMBULATAN" dataDxfId="893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0" name="Table2245789101123456789101112131415161718192021" displayName="Table2245789101123456789101112131415161718192021" ref="C2:N27" totalsRowShown="0" headerRowDxfId="593" dataDxfId="591" headerRowBorderDxfId="592">
  <tableColumns count="12">
    <tableColumn id="1" name="NOMOR" dataDxfId="590" dataCellStyle="Normal"/>
    <tableColumn id="3" name="TUJUAN" dataDxfId="589" dataCellStyle="Normal"/>
    <tableColumn id="16" name="Pick Up" dataDxfId="588"/>
    <tableColumn id="14" name="KAPAL" dataDxfId="587"/>
    <tableColumn id="15" name="ETD Kapal" dataDxfId="586"/>
    <tableColumn id="10" name="KETERANGAN" dataDxfId="585" dataCellStyle="Normal"/>
    <tableColumn id="5" name="P" dataDxfId="584" dataCellStyle="Normal"/>
    <tableColumn id="6" name="L" dataDxfId="583" dataCellStyle="Normal"/>
    <tableColumn id="7" name="T" dataDxfId="582" dataCellStyle="Normal"/>
    <tableColumn id="4" name="ACT KG" dataDxfId="581" dataCellStyle="Normal"/>
    <tableColumn id="8" name="KG VOLUME" dataDxfId="580" dataCellStyle="Normal"/>
    <tableColumn id="19" name="PEMBULATAN" dataDxfId="579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1" name="Table224578910112345678910111213141516171819202122" displayName="Table224578910112345678910111213141516171819202122" ref="C2:N21" totalsRowShown="0" headerRowDxfId="575" dataDxfId="573" headerRowBorderDxfId="574">
  <tableColumns count="12">
    <tableColumn id="1" name="NOMOR" dataDxfId="572" dataCellStyle="Normal"/>
    <tableColumn id="3" name="TUJUAN" dataDxfId="571" dataCellStyle="Normal"/>
    <tableColumn id="16" name="Pick Up" dataDxfId="570"/>
    <tableColumn id="14" name="KAPAL" dataDxfId="569"/>
    <tableColumn id="15" name="ETD Kapal" dataDxfId="568"/>
    <tableColumn id="10" name="KETERANGAN" dataDxfId="567" dataCellStyle="Normal"/>
    <tableColumn id="5" name="P" dataDxfId="566" dataCellStyle="Normal"/>
    <tableColumn id="6" name="L" dataDxfId="565" dataCellStyle="Normal"/>
    <tableColumn id="7" name="T" dataDxfId="564" dataCellStyle="Normal"/>
    <tableColumn id="4" name="ACT KG" dataDxfId="563" dataCellStyle="Normal"/>
    <tableColumn id="8" name="KG VOLUME" dataDxfId="562" dataCellStyle="Normal"/>
    <tableColumn id="19" name="PEMBULATAN" dataDxfId="561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2" name="Table22457891011234567891011121314151617181920212223" displayName="Table22457891011234567891011121314151617181920212223" ref="C2:N47" totalsRowShown="0" headerRowDxfId="557" dataDxfId="555" headerRowBorderDxfId="556">
  <tableColumns count="12">
    <tableColumn id="1" name="NOMOR" dataDxfId="554" dataCellStyle="Normal"/>
    <tableColumn id="3" name="TUJUAN" dataDxfId="553" dataCellStyle="Normal"/>
    <tableColumn id="16" name="Pick Up" dataDxfId="552"/>
    <tableColumn id="14" name="KAPAL" dataDxfId="551"/>
    <tableColumn id="15" name="ETD Kapal" dataDxfId="550"/>
    <tableColumn id="10" name="KETERANGAN" dataDxfId="549" dataCellStyle="Normal"/>
    <tableColumn id="5" name="P" dataDxfId="548" dataCellStyle="Normal"/>
    <tableColumn id="6" name="L" dataDxfId="547" dataCellStyle="Normal"/>
    <tableColumn id="7" name="T" dataDxfId="546" dataCellStyle="Normal"/>
    <tableColumn id="4" name="ACT KG" dataDxfId="545" dataCellStyle="Normal"/>
    <tableColumn id="8" name="KG VOLUME" dataDxfId="544" dataCellStyle="Normal"/>
    <tableColumn id="19" name="PEMBULATAN" dataDxfId="543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3" name="Table2245789101123456789101112131415161718192021222324" displayName="Table2245789101123456789101112131415161718192021222324" ref="C2:N6" totalsRowShown="0" headerRowDxfId="539" dataDxfId="537" headerRowBorderDxfId="538">
  <tableColumns count="12">
    <tableColumn id="1" name="NOMOR" dataDxfId="536" dataCellStyle="Normal"/>
    <tableColumn id="3" name="TUJUAN" dataDxfId="535" dataCellStyle="Normal"/>
    <tableColumn id="16" name="Pick Up" dataDxfId="534"/>
    <tableColumn id="14" name="KAPAL" dataDxfId="533"/>
    <tableColumn id="15" name="ETD Kapal" dataDxfId="532"/>
    <tableColumn id="10" name="KETERANGAN" dataDxfId="531" dataCellStyle="Normal"/>
    <tableColumn id="5" name="P" dataDxfId="530" dataCellStyle="Normal"/>
    <tableColumn id="6" name="L" dataDxfId="529" dataCellStyle="Normal"/>
    <tableColumn id="7" name="T" dataDxfId="528" dataCellStyle="Normal"/>
    <tableColumn id="4" name="ACT KG" dataDxfId="527" dataCellStyle="Normal"/>
    <tableColumn id="8" name="KG VOLUME" dataDxfId="526" dataCellStyle="Normal"/>
    <tableColumn id="19" name="PEMBULATAN" dataDxfId="525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4" name="Table224578910112345678910111213141516171819202122232425" displayName="Table224578910112345678910111213141516171819202122232425" ref="C2:N5" totalsRowShown="0" headerRowDxfId="522" dataDxfId="520" headerRowBorderDxfId="521">
  <tableColumns count="12">
    <tableColumn id="1" name="NOMOR" dataDxfId="519" dataCellStyle="Normal"/>
    <tableColumn id="3" name="TUJUAN" dataDxfId="518" dataCellStyle="Normal"/>
    <tableColumn id="16" name="Pick Up" dataDxfId="517"/>
    <tableColumn id="14" name="KAPAL" dataDxfId="516"/>
    <tableColumn id="15" name="ETD Kapal" dataDxfId="515"/>
    <tableColumn id="10" name="KETERANGAN" dataDxfId="514" dataCellStyle="Normal"/>
    <tableColumn id="5" name="P" dataDxfId="513" dataCellStyle="Normal"/>
    <tableColumn id="6" name="L" dataDxfId="512" dataCellStyle="Normal"/>
    <tableColumn id="7" name="T" dataDxfId="511" dataCellStyle="Normal"/>
    <tableColumn id="4" name="ACT KG" dataDxfId="510" dataCellStyle="Normal"/>
    <tableColumn id="8" name="KG VOLUME" dataDxfId="509" dataCellStyle="Normal"/>
    <tableColumn id="19" name="PEMBULATAN" dataDxfId="508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5" name="Table22457891011234567891011121314151617181920212223242526" displayName="Table22457891011234567891011121314151617181920212223242526" ref="C2:N29" totalsRowShown="0" headerRowDxfId="505" dataDxfId="503" headerRowBorderDxfId="504">
  <tableColumns count="12">
    <tableColumn id="1" name="NOMOR" dataDxfId="502" dataCellStyle="Normal"/>
    <tableColumn id="3" name="TUJUAN" dataDxfId="501" dataCellStyle="Normal"/>
    <tableColumn id="16" name="Pick Up" dataDxfId="500"/>
    <tableColumn id="14" name="KAPAL" dataDxfId="499"/>
    <tableColumn id="15" name="ETD Kapal" dataDxfId="498"/>
    <tableColumn id="10" name="KETERANGAN" dataDxfId="497" dataCellStyle="Normal"/>
    <tableColumn id="5" name="P" dataDxfId="496" dataCellStyle="Normal"/>
    <tableColumn id="6" name="L" dataDxfId="495" dataCellStyle="Normal"/>
    <tableColumn id="7" name="T" dataDxfId="494" dataCellStyle="Normal"/>
    <tableColumn id="4" name="ACT KG" dataDxfId="493" dataCellStyle="Normal"/>
    <tableColumn id="8" name="KG VOLUME" dataDxfId="492" dataCellStyle="Normal"/>
    <tableColumn id="19" name="PEMBULATAN" dataDxfId="491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6" name="Table2245789101123456789101112131415161718192021222324252627" displayName="Table2245789101123456789101112131415161718192021222324252627" ref="C2:N9" totalsRowShown="0" headerRowDxfId="486" dataDxfId="484" headerRowBorderDxfId="485">
  <tableColumns count="12">
    <tableColumn id="1" name="NOMOR" dataDxfId="483" dataCellStyle="Normal"/>
    <tableColumn id="3" name="TUJUAN" dataDxfId="482" dataCellStyle="Normal"/>
    <tableColumn id="16" name="Pick Up" dataDxfId="481"/>
    <tableColumn id="14" name="KAPAL" dataDxfId="480"/>
    <tableColumn id="15" name="ETD Kapal" dataDxfId="479"/>
    <tableColumn id="10" name="KETERANGAN" dataDxfId="478" dataCellStyle="Normal"/>
    <tableColumn id="5" name="P" dataDxfId="477" dataCellStyle="Normal"/>
    <tableColumn id="6" name="L" dataDxfId="476" dataCellStyle="Normal"/>
    <tableColumn id="7" name="T" dataDxfId="475" dataCellStyle="Normal"/>
    <tableColumn id="4" name="ACT KG" dataDxfId="474" dataCellStyle="Normal"/>
    <tableColumn id="8" name="KG VOLUME" dataDxfId="473" dataCellStyle="Normal"/>
    <tableColumn id="19" name="PEMBULATAN" dataDxfId="472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11" totalsRowShown="0" headerRowDxfId="469" dataDxfId="467" headerRowBorderDxfId="468">
  <tableColumns count="12">
    <tableColumn id="1" name="NOMOR" dataDxfId="466" dataCellStyle="Normal"/>
    <tableColumn id="3" name="TUJUAN" dataDxfId="465" dataCellStyle="Normal"/>
    <tableColumn id="16" name="Pick Up" dataDxfId="464"/>
    <tableColumn id="14" name="KAPAL" dataDxfId="463"/>
    <tableColumn id="15" name="ETD Kapal" dataDxfId="462"/>
    <tableColumn id="10" name="KETERANGAN" dataDxfId="461" dataCellStyle="Normal"/>
    <tableColumn id="5" name="P" dataDxfId="460" dataCellStyle="Normal"/>
    <tableColumn id="6" name="L" dataDxfId="459" dataCellStyle="Normal"/>
    <tableColumn id="7" name="T" dataDxfId="458" dataCellStyle="Normal"/>
    <tableColumn id="4" name="ACT KG" dataDxfId="457" dataCellStyle="Normal"/>
    <tableColumn id="8" name="KG VOLUME" dataDxfId="456" dataCellStyle="Normal"/>
    <tableColumn id="19" name="PEMBULATAN" dataDxfId="455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5" totalsRowShown="0" headerRowDxfId="452" dataDxfId="450" headerRowBorderDxfId="451">
  <tableColumns count="12">
    <tableColumn id="1" name="NOMOR" dataDxfId="449" dataCellStyle="Normal"/>
    <tableColumn id="3" name="TUJUAN" dataDxfId="448" dataCellStyle="Normal"/>
    <tableColumn id="16" name="Pick Up" dataDxfId="447"/>
    <tableColumn id="14" name="KAPAL" dataDxfId="446"/>
    <tableColumn id="15" name="ETD Kapal" dataDxfId="445"/>
    <tableColumn id="10" name="KETERANGAN" dataDxfId="444" dataCellStyle="Normal"/>
    <tableColumn id="5" name="P" dataDxfId="443" dataCellStyle="Normal"/>
    <tableColumn id="6" name="L" dataDxfId="442" dataCellStyle="Normal"/>
    <tableColumn id="7" name="T" dataDxfId="441" dataCellStyle="Normal"/>
    <tableColumn id="4" name="ACT KG" dataDxfId="440" dataCellStyle="Normal"/>
    <tableColumn id="8" name="KG VOLUME" dataDxfId="439" dataCellStyle="Normal"/>
    <tableColumn id="19" name="PEMBULATAN" dataDxfId="438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31" totalsRowShown="0" headerRowDxfId="435" dataDxfId="433" headerRowBorderDxfId="434">
  <tableColumns count="12">
    <tableColumn id="1" name="NOMOR" dataDxfId="432" dataCellStyle="Normal"/>
    <tableColumn id="3" name="TUJUAN" dataDxfId="431" dataCellStyle="Normal"/>
    <tableColumn id="16" name="Pick Up" dataDxfId="430"/>
    <tableColumn id="14" name="KAPAL" dataDxfId="429"/>
    <tableColumn id="15" name="ETD Kapal" dataDxfId="428"/>
    <tableColumn id="10" name="KETERANGAN" dataDxfId="427" dataCellStyle="Normal"/>
    <tableColumn id="5" name="P" dataDxfId="426" dataCellStyle="Normal"/>
    <tableColumn id="6" name="L" dataDxfId="425" dataCellStyle="Normal"/>
    <tableColumn id="7" name="T" dataDxfId="424" dataCellStyle="Normal"/>
    <tableColumn id="4" name="ACT KG" dataDxfId="423" dataCellStyle="Normal"/>
    <tableColumn id="8" name="KG VOLUME" dataDxfId="422" dataCellStyle="Normal"/>
    <tableColumn id="19" name="PEMBULATAN" dataDxfId="42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7" totalsRowShown="0" headerRowDxfId="890" dataDxfId="888" headerRowBorderDxfId="889">
  <tableColumns count="12">
    <tableColumn id="1" name="NOMOR" dataDxfId="887" dataCellStyle="Normal"/>
    <tableColumn id="3" name="TUJUAN" dataDxfId="886" dataCellStyle="Normal"/>
    <tableColumn id="16" name="Pick Up" dataDxfId="885"/>
    <tableColumn id="14" name="KAPAL" dataDxfId="884"/>
    <tableColumn id="15" name="ETD Kapal" dataDxfId="883"/>
    <tableColumn id="10" name="KETERANGAN" dataDxfId="882" dataCellStyle="Normal"/>
    <tableColumn id="5" name="P" dataDxfId="881" dataCellStyle="Normal"/>
    <tableColumn id="6" name="L" dataDxfId="880" dataCellStyle="Normal"/>
    <tableColumn id="7" name="T" dataDxfId="879" dataCellStyle="Normal"/>
    <tableColumn id="4" name="ACT KG" dataDxfId="878" dataCellStyle="Normal"/>
    <tableColumn id="8" name="KG VOLUME" dataDxfId="877" dataCellStyle="Normal"/>
    <tableColumn id="19" name="PEMBULATAN" dataDxfId="876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3" totalsRowShown="0" headerRowDxfId="419" dataDxfId="417" headerRowBorderDxfId="418">
  <tableColumns count="12">
    <tableColumn id="1" name="NOMOR" dataDxfId="416" dataCellStyle="Normal"/>
    <tableColumn id="3" name="TUJUAN" dataDxfId="415" dataCellStyle="Normal"/>
    <tableColumn id="16" name="Pick Up" dataDxfId="414"/>
    <tableColumn id="14" name="KAPAL" dataDxfId="413"/>
    <tableColumn id="15" name="ETD Kapal" dataDxfId="412"/>
    <tableColumn id="10" name="KETERANGAN" dataDxfId="411" dataCellStyle="Normal"/>
    <tableColumn id="5" name="P" dataDxfId="410" dataCellStyle="Normal"/>
    <tableColumn id="6" name="L" dataDxfId="409" dataCellStyle="Normal"/>
    <tableColumn id="7" name="T" dataDxfId="408" dataCellStyle="Normal"/>
    <tableColumn id="4" name="ACT KG" dataDxfId="407" dataCellStyle="Normal"/>
    <tableColumn id="8" name="KG VOLUME" dataDxfId="406" dataCellStyle="Normal"/>
    <tableColumn id="19" name="PEMBULATAN" dataDxfId="405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28" totalsRowShown="0" headerRowDxfId="402" dataDxfId="400" headerRowBorderDxfId="401">
  <tableColumns count="12">
    <tableColumn id="1" name="NOMOR" dataDxfId="399" dataCellStyle="Normal"/>
    <tableColumn id="3" name="TUJUAN" dataDxfId="398" dataCellStyle="Normal"/>
    <tableColumn id="16" name="Pick Up" dataDxfId="397"/>
    <tableColumn id="14" name="KAPAL" dataDxfId="396"/>
    <tableColumn id="15" name="ETD Kapal" dataDxfId="395"/>
    <tableColumn id="10" name="KETERANGAN" dataDxfId="394" dataCellStyle="Normal"/>
    <tableColumn id="5" name="P" dataDxfId="393" dataCellStyle="Normal"/>
    <tableColumn id="6" name="L" dataDxfId="392" dataCellStyle="Normal"/>
    <tableColumn id="7" name="T" dataDxfId="391" dataCellStyle="Normal"/>
    <tableColumn id="4" name="ACT KG" dataDxfId="390" dataCellStyle="Normal"/>
    <tableColumn id="8" name="KG VOLUME" dataDxfId="389" dataCellStyle="Normal"/>
    <tableColumn id="19" name="PEMBULATAN" dataDxfId="388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6" totalsRowShown="0" headerRowDxfId="385" dataDxfId="383" headerRowBorderDxfId="384">
  <tableColumns count="12">
    <tableColumn id="1" name="NOMOR" dataDxfId="382" dataCellStyle="Normal"/>
    <tableColumn id="3" name="TUJUAN" dataDxfId="381" dataCellStyle="Normal"/>
    <tableColumn id="16" name="Pick Up" dataDxfId="380"/>
    <tableColumn id="14" name="KAPAL" dataDxfId="379"/>
    <tableColumn id="15" name="ETD Kapal" dataDxfId="378"/>
    <tableColumn id="10" name="KETERANGAN" dataDxfId="377" dataCellStyle="Normal"/>
    <tableColumn id="5" name="P" dataDxfId="376" dataCellStyle="Normal"/>
    <tableColumn id="6" name="L" dataDxfId="375" dataCellStyle="Normal"/>
    <tableColumn id="7" name="T" dataDxfId="374" dataCellStyle="Normal"/>
    <tableColumn id="4" name="ACT KG" dataDxfId="373" dataCellStyle="Normal"/>
    <tableColumn id="8" name="KG VOLUME" dataDxfId="372" dataCellStyle="Normal"/>
    <tableColumn id="19" name="PEMBULATAN" dataDxfId="371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34" name="Table22457891011234567891011121314151617181920212223242526272829303132333435" displayName="Table22457891011234567891011121314151617181920212223242526272829303132333435" ref="C2:N20" totalsRowShown="0" headerRowDxfId="368" dataDxfId="366" headerRowBorderDxfId="367">
  <tableColumns count="12">
    <tableColumn id="1" name="NOMOR" dataDxfId="365" dataCellStyle="Normal"/>
    <tableColumn id="3" name="TUJUAN" dataDxfId="364" dataCellStyle="Normal"/>
    <tableColumn id="16" name="Pick Up" dataDxfId="363"/>
    <tableColumn id="14" name="KAPAL" dataDxfId="362"/>
    <tableColumn id="15" name="ETD Kapal" dataDxfId="361"/>
    <tableColumn id="10" name="KETERANGAN" dataDxfId="360" dataCellStyle="Normal"/>
    <tableColumn id="5" name="P" dataDxfId="359" dataCellStyle="Normal"/>
    <tableColumn id="6" name="L" dataDxfId="358" dataCellStyle="Normal"/>
    <tableColumn id="7" name="T" dataDxfId="357" dataCellStyle="Normal"/>
    <tableColumn id="4" name="ACT KG" dataDxfId="356" dataCellStyle="Normal"/>
    <tableColumn id="8" name="KG VOLUME" dataDxfId="355" dataCellStyle="Normal"/>
    <tableColumn id="19" name="PEMBULATAN" dataDxfId="354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35" name="Table2245789101123456789101112131415161718192021222324252627282930313233343536" displayName="Table2245789101123456789101112131415161718192021222324252627282930313233343536" ref="C2:N4" totalsRowShown="0" headerRowDxfId="351" dataDxfId="349" headerRowBorderDxfId="350">
  <tableColumns count="12">
    <tableColumn id="1" name="NOMOR" dataDxfId="348" dataCellStyle="Normal"/>
    <tableColumn id="3" name="TUJUAN" dataDxfId="347" dataCellStyle="Normal"/>
    <tableColumn id="16" name="Pick Up" dataDxfId="346"/>
    <tableColumn id="14" name="KAPAL" dataDxfId="345"/>
    <tableColumn id="15" name="ETD Kapal" dataDxfId="344"/>
    <tableColumn id="10" name="KETERANGAN" dataDxfId="343" dataCellStyle="Normal"/>
    <tableColumn id="5" name="P" dataDxfId="342" dataCellStyle="Normal"/>
    <tableColumn id="6" name="L" dataDxfId="341" dataCellStyle="Normal"/>
    <tableColumn id="7" name="T" dataDxfId="340" dataCellStyle="Normal"/>
    <tableColumn id="4" name="ACT KG" dataDxfId="339" dataCellStyle="Normal"/>
    <tableColumn id="8" name="KG VOLUME" dataDxfId="338" dataCellStyle="Normal"/>
    <tableColumn id="19" name="PEMBULATAN" dataDxfId="337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6" name="Table224578910112345678910111213141516171819202122232425262728293031323334353637" displayName="Table224578910112345678910111213141516171819202122232425262728293031323334353637" ref="C2:N26" totalsRowShown="0" headerRowDxfId="334" dataDxfId="332" headerRowBorderDxfId="333">
  <tableColumns count="12">
    <tableColumn id="1" name="NOMOR" dataDxfId="331" dataCellStyle="Normal"/>
    <tableColumn id="3" name="TUJUAN" dataDxfId="330" dataCellStyle="Normal"/>
    <tableColumn id="16" name="Pick Up" dataDxfId="329"/>
    <tableColumn id="14" name="KAPAL" dataDxfId="328"/>
    <tableColumn id="15" name="ETD Kapal" dataDxfId="327"/>
    <tableColumn id="10" name="KETERANGAN" dataDxfId="326" dataCellStyle="Normal"/>
    <tableColumn id="5" name="P" dataDxfId="325" dataCellStyle="Normal"/>
    <tableColumn id="6" name="L" dataDxfId="324" dataCellStyle="Normal"/>
    <tableColumn id="7" name="T" dataDxfId="323" dataCellStyle="Normal"/>
    <tableColumn id="4" name="ACT KG" dataDxfId="322" dataCellStyle="Normal"/>
    <tableColumn id="8" name="KG VOLUME" dataDxfId="321" dataCellStyle="Normal"/>
    <tableColumn id="19" name="PEMBULATAN" dataDxfId="320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7" name="Table22457891011234567891011121314151617181920212223242526272829303132333435363738" displayName="Table22457891011234567891011121314151617181920212223242526272829303132333435363738" ref="C2:N5" totalsRowShown="0" headerRowDxfId="317" dataDxfId="315" headerRowBorderDxfId="316">
  <tableColumns count="12">
    <tableColumn id="1" name="NOMOR" dataDxfId="314" dataCellStyle="Normal"/>
    <tableColumn id="3" name="TUJUAN" dataDxfId="313" dataCellStyle="Normal"/>
    <tableColumn id="16" name="Pick Up" dataDxfId="312"/>
    <tableColumn id="14" name="KAPAL" dataDxfId="311"/>
    <tableColumn id="15" name="ETD Kapal" dataDxfId="310"/>
    <tableColumn id="10" name="KETERANGAN" dataDxfId="309" dataCellStyle="Normal"/>
    <tableColumn id="5" name="P" dataDxfId="308" dataCellStyle="Normal"/>
    <tableColumn id="6" name="L" dataDxfId="307" dataCellStyle="Normal"/>
    <tableColumn id="7" name="T" dataDxfId="306" dataCellStyle="Normal"/>
    <tableColumn id="4" name="ACT KG" dataDxfId="305" dataCellStyle="Normal"/>
    <tableColumn id="8" name="KG VOLUME" dataDxfId="304" dataCellStyle="Normal"/>
    <tableColumn id="19" name="PEMBULATAN" dataDxfId="303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id="38" name="Table2245789101123456789101112131415161718192021222324252627282930313233343536373839" displayName="Table2245789101123456789101112131415161718192021222324252627282930313233343536373839" ref="C2:N35" totalsRowShown="0" headerRowDxfId="300" dataDxfId="298" headerRowBorderDxfId="299">
  <tableColumns count="12">
    <tableColumn id="1" name="NOMOR" dataDxfId="297" dataCellStyle="Normal"/>
    <tableColumn id="3" name="TUJUAN" dataDxfId="296" dataCellStyle="Normal"/>
    <tableColumn id="16" name="Pick Up" dataDxfId="295"/>
    <tableColumn id="14" name="KAPAL" dataDxfId="294"/>
    <tableColumn id="15" name="ETD Kapal" dataDxfId="293"/>
    <tableColumn id="10" name="KETERANGAN" dataDxfId="292" dataCellStyle="Normal"/>
    <tableColumn id="5" name="P" dataDxfId="291" dataCellStyle="Normal"/>
    <tableColumn id="6" name="L" dataDxfId="290" dataCellStyle="Normal"/>
    <tableColumn id="7" name="T" dataDxfId="289" dataCellStyle="Normal"/>
    <tableColumn id="4" name="ACT KG" dataDxfId="288" dataCellStyle="Normal"/>
    <tableColumn id="8" name="KG VOLUME" dataDxfId="287" dataCellStyle="Normal"/>
    <tableColumn id="19" name="PEMBULATAN" dataDxfId="286"/>
  </tableColumns>
  <tableStyleInfo name="Table Style 1" showFirstColumn="0" showLastColumn="0" showRowStripes="1" showColumnStripes="0"/>
</table>
</file>

<file path=xl/tables/table38.xml><?xml version="1.0" encoding="utf-8"?>
<table xmlns="http://schemas.openxmlformats.org/spreadsheetml/2006/main" id="39" name="Table224578910112345678910111213141516171819202122232425262728293031323334353637383940" displayName="Table224578910112345678910111213141516171819202122232425262728293031323334353637383940" ref="C2:N3" totalsRowShown="0" headerRowDxfId="284" dataDxfId="282" headerRowBorderDxfId="283">
  <tableColumns count="12">
    <tableColumn id="1" name="NOMOR" dataDxfId="281" dataCellStyle="Normal"/>
    <tableColumn id="3" name="TUJUAN" dataDxfId="280" dataCellStyle="Normal"/>
    <tableColumn id="16" name="Pick Up" dataDxfId="279"/>
    <tableColumn id="14" name="KAPAL" dataDxfId="278"/>
    <tableColumn id="15" name="ETD Kapal" dataDxfId="277"/>
    <tableColumn id="10" name="KETERANGAN" dataDxfId="276" dataCellStyle="Normal"/>
    <tableColumn id="5" name="P" dataDxfId="275" dataCellStyle="Normal"/>
    <tableColumn id="6" name="L" dataDxfId="274" dataCellStyle="Normal"/>
    <tableColumn id="7" name="T" dataDxfId="273" dataCellStyle="Normal"/>
    <tableColumn id="4" name="ACT KG" dataDxfId="272" dataCellStyle="Normal"/>
    <tableColumn id="8" name="KG VOLUME" dataDxfId="271" dataCellStyle="Normal"/>
    <tableColumn id="19" name="PEMBULATAN" dataDxfId="270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id="40" name="Table22457891011234567891011121314151617181920212223242526272829303132333435363738394041" displayName="Table22457891011234567891011121314151617181920212223242526272829303132333435363738394041" ref="C2:N23" totalsRowShown="0" headerRowDxfId="267" dataDxfId="265" headerRowBorderDxfId="266">
  <tableColumns count="12">
    <tableColumn id="1" name="NOMOR" dataDxfId="264" dataCellStyle="Normal"/>
    <tableColumn id="3" name="TUJUAN" dataDxfId="263" dataCellStyle="Normal"/>
    <tableColumn id="16" name="Pick Up" dataDxfId="262"/>
    <tableColumn id="14" name="KAPAL" dataDxfId="261"/>
    <tableColumn id="15" name="ETD Kapal" dataDxfId="260"/>
    <tableColumn id="10" name="KETERANGAN" dataDxfId="259" dataCellStyle="Normal"/>
    <tableColumn id="5" name="P" dataDxfId="258" dataCellStyle="Normal"/>
    <tableColumn id="6" name="L" dataDxfId="257" dataCellStyle="Normal"/>
    <tableColumn id="7" name="T" dataDxfId="256" dataCellStyle="Normal"/>
    <tableColumn id="4" name="ACT KG" dataDxfId="255" dataCellStyle="Normal"/>
    <tableColumn id="8" name="KG VOLUME" dataDxfId="254" dataCellStyle="Normal"/>
    <tableColumn id="19" name="PEMBULATAN" dataDxfId="253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20" totalsRowShown="0" headerRowDxfId="872" dataDxfId="870" headerRowBorderDxfId="871">
  <tableColumns count="12">
    <tableColumn id="1" name="NOMOR" dataDxfId="869" dataCellStyle="Normal"/>
    <tableColumn id="3" name="TUJUAN" dataDxfId="868" dataCellStyle="Normal"/>
    <tableColumn id="16" name="Pick Up" dataDxfId="867"/>
    <tableColumn id="14" name="KAPAL" dataDxfId="866"/>
    <tableColumn id="15" name="ETD Kapal" dataDxfId="865"/>
    <tableColumn id="10" name="KETERANGAN" dataDxfId="864" dataCellStyle="Normal"/>
    <tableColumn id="5" name="P" dataDxfId="863" dataCellStyle="Normal"/>
    <tableColumn id="6" name="L" dataDxfId="862" dataCellStyle="Normal"/>
    <tableColumn id="7" name="T" dataDxfId="861" dataCellStyle="Normal"/>
    <tableColumn id="4" name="ACT KG" dataDxfId="860" dataCellStyle="Normal"/>
    <tableColumn id="8" name="KG VOLUME" dataDxfId="859" dataCellStyle="Normal"/>
    <tableColumn id="19" name="PEMBULATAN" dataDxfId="858"/>
  </tableColumns>
  <tableStyleInfo name="Table Style 1" showFirstColumn="0" showLastColumn="0" showRowStripes="1" showColumnStripes="0"/>
</table>
</file>

<file path=xl/tables/table40.xml><?xml version="1.0" encoding="utf-8"?>
<table xmlns="http://schemas.openxmlformats.org/spreadsheetml/2006/main" id="41" name="Table2245789101123456789101112131415161718192021222324252627282930313233343536373839404142" displayName="Table2245789101123456789101112131415161718192021222324252627282930313233343536373839404142" ref="C2:N4" totalsRowShown="0" headerRowDxfId="250" dataDxfId="248" headerRowBorderDxfId="249">
  <tableColumns count="12">
    <tableColumn id="1" name="NOMOR" dataDxfId="247" dataCellStyle="Normal"/>
    <tableColumn id="3" name="TUJUAN" dataDxfId="246" dataCellStyle="Normal"/>
    <tableColumn id="16" name="Pick Up" dataDxfId="245"/>
    <tableColumn id="14" name="KAPAL" dataDxfId="244"/>
    <tableColumn id="15" name="ETD Kapal" dataDxfId="243"/>
    <tableColumn id="10" name="KETERANGAN" dataDxfId="242" dataCellStyle="Normal"/>
    <tableColumn id="5" name="P" dataDxfId="241" dataCellStyle="Normal"/>
    <tableColumn id="6" name="L" dataDxfId="240" dataCellStyle="Normal"/>
    <tableColumn id="7" name="T" dataDxfId="239" dataCellStyle="Normal"/>
    <tableColumn id="4" name="ACT KG" dataDxfId="238" dataCellStyle="Normal"/>
    <tableColumn id="8" name="KG VOLUME" dataDxfId="237" dataCellStyle="Normal"/>
    <tableColumn id="19" name="PEMBULATAN" dataDxfId="236"/>
  </tableColumns>
  <tableStyleInfo name="Table Style 1" showFirstColumn="0" showLastColumn="0" showRowStripes="1" showColumnStripes="0"/>
</table>
</file>

<file path=xl/tables/table41.xml><?xml version="1.0" encoding="utf-8"?>
<table xmlns="http://schemas.openxmlformats.org/spreadsheetml/2006/main" id="42" name="Table224578910112345678910111213141516171819202122232425262728293031323334353637383940414243" displayName="Table224578910112345678910111213141516171819202122232425262728293031323334353637383940414243" ref="C2:N9" totalsRowShown="0" headerRowDxfId="233" dataDxfId="231" headerRowBorderDxfId="232">
  <tableColumns count="12">
    <tableColumn id="1" name="NOMOR" dataDxfId="230" dataCellStyle="Normal"/>
    <tableColumn id="3" name="TUJUAN" dataDxfId="229" dataCellStyle="Normal"/>
    <tableColumn id="16" name="Pick Up" dataDxfId="228"/>
    <tableColumn id="14" name="KAPAL" dataDxfId="227"/>
    <tableColumn id="15" name="ETD Kapal" dataDxfId="226"/>
    <tableColumn id="10" name="KETERANGAN" dataDxfId="225" dataCellStyle="Normal"/>
    <tableColumn id="5" name="P" dataDxfId="224" dataCellStyle="Normal"/>
    <tableColumn id="6" name="L" dataDxfId="223" dataCellStyle="Normal"/>
    <tableColumn id="7" name="T" dataDxfId="222" dataCellStyle="Normal"/>
    <tableColumn id="4" name="ACT KG" dataDxfId="221" dataCellStyle="Normal"/>
    <tableColumn id="8" name="KG VOLUME" dataDxfId="220" dataCellStyle="Normal"/>
    <tableColumn id="19" name="PEMBULATAN" dataDxfId="219"/>
  </tableColumns>
  <tableStyleInfo name="Table Style 1" showFirstColumn="0" showLastColumn="0" showRowStripes="1" showColumnStripes="0"/>
</table>
</file>

<file path=xl/tables/table42.xml><?xml version="1.0" encoding="utf-8"?>
<table xmlns="http://schemas.openxmlformats.org/spreadsheetml/2006/main" id="43" name="Table22457891011234567891011121314151617181920212223242526272829303132333435363738394041424344" displayName="Table22457891011234567891011121314151617181920212223242526272829303132333435363738394041424344" ref="C2:N8" totalsRowShown="0" headerRowDxfId="216" dataDxfId="214" headerRowBorderDxfId="215">
  <tableColumns count="12">
    <tableColumn id="1" name="NOMOR" dataDxfId="213" dataCellStyle="Normal"/>
    <tableColumn id="3" name="TUJUAN" dataDxfId="212" dataCellStyle="Normal"/>
    <tableColumn id="16" name="Pick Up" dataDxfId="211"/>
    <tableColumn id="14" name="KAPAL" dataDxfId="210"/>
    <tableColumn id="15" name="ETD Kapal" dataDxfId="209"/>
    <tableColumn id="10" name="KETERANGAN" dataDxfId="208" dataCellStyle="Normal"/>
    <tableColumn id="5" name="P" dataDxfId="207" dataCellStyle="Normal"/>
    <tableColumn id="6" name="L" dataDxfId="206" dataCellStyle="Normal"/>
    <tableColumn id="7" name="T" dataDxfId="205" dataCellStyle="Normal"/>
    <tableColumn id="4" name="ACT KG" dataDxfId="204" dataCellStyle="Normal"/>
    <tableColumn id="8" name="KG VOLUME" dataDxfId="203" dataCellStyle="Normal"/>
    <tableColumn id="19" name="PEMBULATAN" dataDxfId="202"/>
  </tableColumns>
  <tableStyleInfo name="Table Style 1" showFirstColumn="0" showLastColumn="0" showRowStripes="1" showColumnStripes="0"/>
</table>
</file>

<file path=xl/tables/table43.xml><?xml version="1.0" encoding="utf-8"?>
<table xmlns="http://schemas.openxmlformats.org/spreadsheetml/2006/main" id="44" name="Table2245789101123456789101112131415161718192021222324252627282930313233343536373839404142434445" displayName="Table2245789101123456789101112131415161718192021222324252627282930313233343536373839404142434445" ref="C2:N17" totalsRowShown="0" headerRowDxfId="199" dataDxfId="197" headerRowBorderDxfId="198">
  <tableColumns count="12">
    <tableColumn id="1" name="NOMOR" dataDxfId="196" dataCellStyle="Normal"/>
    <tableColumn id="3" name="TUJUAN" dataDxfId="195" dataCellStyle="Normal"/>
    <tableColumn id="16" name="Pick Up" dataDxfId="194"/>
    <tableColumn id="14" name="KAPAL" dataDxfId="193"/>
    <tableColumn id="15" name="ETD Kapal" dataDxfId="192"/>
    <tableColumn id="10" name="KETERANGAN" dataDxfId="191" dataCellStyle="Normal"/>
    <tableColumn id="5" name="P" dataDxfId="190" dataCellStyle="Normal"/>
    <tableColumn id="6" name="L" dataDxfId="189" dataCellStyle="Normal"/>
    <tableColumn id="7" name="T" dataDxfId="188" dataCellStyle="Normal"/>
    <tableColumn id="4" name="ACT KG" dataDxfId="187" dataCellStyle="Normal"/>
    <tableColumn id="8" name="KG VOLUME" dataDxfId="186" dataCellStyle="Normal"/>
    <tableColumn id="19" name="PEMBULATAN" dataDxfId="185"/>
  </tableColumns>
  <tableStyleInfo name="Table Style 1" showFirstColumn="0" showLastColumn="0" showRowStripes="1" showColumnStripes="0"/>
</table>
</file>

<file path=xl/tables/table44.xml><?xml version="1.0" encoding="utf-8"?>
<table xmlns="http://schemas.openxmlformats.org/spreadsheetml/2006/main" id="45" name="Table224578910112345678910111213141516171819202122232425262728293031323334353637383940414243444546" displayName="Table224578910112345678910111213141516171819202122232425262728293031323334353637383940414243444546" ref="C2:N6" totalsRowShown="0" headerRowDxfId="182" dataDxfId="180" headerRowBorderDxfId="181">
  <tableColumns count="12">
    <tableColumn id="1" name="NOMOR" dataDxfId="179" dataCellStyle="Normal"/>
    <tableColumn id="3" name="TUJUAN" dataDxfId="178" dataCellStyle="Normal"/>
    <tableColumn id="16" name="Pick Up" dataDxfId="177"/>
    <tableColumn id="14" name="KAPAL" dataDxfId="176"/>
    <tableColumn id="15" name="ETD Kapal" dataDxfId="175"/>
    <tableColumn id="10" name="KETERANGAN" dataDxfId="174" dataCellStyle="Normal"/>
    <tableColumn id="5" name="P" dataDxfId="173" dataCellStyle="Normal"/>
    <tableColumn id="6" name="L" dataDxfId="172" dataCellStyle="Normal"/>
    <tableColumn id="7" name="T" dataDxfId="171" dataCellStyle="Normal"/>
    <tableColumn id="4" name="ACT KG" dataDxfId="170" dataCellStyle="Normal"/>
    <tableColumn id="8" name="KG VOLUME" dataDxfId="169" dataCellStyle="Normal"/>
    <tableColumn id="19" name="PEMBULATAN" dataDxfId="168"/>
  </tableColumns>
  <tableStyleInfo name="Table Style 1" showFirstColumn="0" showLastColumn="0" showRowStripes="1" showColumnStripes="0"/>
</table>
</file>

<file path=xl/tables/table45.xml><?xml version="1.0" encoding="utf-8"?>
<table xmlns="http://schemas.openxmlformats.org/spreadsheetml/2006/main" id="46" name="Table22457891011234567891011121314151617181920212223242526272829303132333435363738394041424344454647" displayName="Table22457891011234567891011121314151617181920212223242526272829303132333435363738394041424344454647" ref="C2:N4" totalsRowShown="0" headerRowDxfId="165" dataDxfId="163" headerRowBorderDxfId="164">
  <tableColumns count="12">
    <tableColumn id="1" name="NOMOR" dataDxfId="162" dataCellStyle="Normal"/>
    <tableColumn id="3" name="TUJUAN" dataDxfId="161" dataCellStyle="Normal"/>
    <tableColumn id="16" name="Pick Up" dataDxfId="160"/>
    <tableColumn id="14" name="KAPAL" dataDxfId="159"/>
    <tableColumn id="15" name="ETD Kapal" dataDxfId="158"/>
    <tableColumn id="10" name="KETERANGAN" dataDxfId="157" dataCellStyle="Normal"/>
    <tableColumn id="5" name="P" dataDxfId="156" dataCellStyle="Normal"/>
    <tableColumn id="6" name="L" dataDxfId="155" dataCellStyle="Normal"/>
    <tableColumn id="7" name="T" dataDxfId="154" dataCellStyle="Normal"/>
    <tableColumn id="4" name="ACT KG" dataDxfId="153" dataCellStyle="Normal"/>
    <tableColumn id="8" name="KG VOLUME" dataDxfId="152" dataCellStyle="Normal"/>
    <tableColumn id="19" name="PEMBULATAN" dataDxfId="151"/>
  </tableColumns>
  <tableStyleInfo name="Table Style 1" showFirstColumn="0" showLastColumn="0" showRowStripes="1" showColumnStripes="0"/>
</table>
</file>

<file path=xl/tables/table46.xml><?xml version="1.0" encoding="utf-8"?>
<table xmlns="http://schemas.openxmlformats.org/spreadsheetml/2006/main" id="47" name="Table2245789101123456789101112131415161718192021222324252627282930313233343536373839404142434445464748" displayName="Table2245789101123456789101112131415161718192021222324252627282930313233343536373839404142434445464748" ref="C2:N17" totalsRowShown="0" headerRowDxfId="148" dataDxfId="146" headerRowBorderDxfId="147">
  <tableColumns count="12">
    <tableColumn id="1" name="NOMOR" dataDxfId="145" dataCellStyle="Normal"/>
    <tableColumn id="3" name="TUJUAN" dataDxfId="144" dataCellStyle="Normal"/>
    <tableColumn id="16" name="Pick Up" dataDxfId="143"/>
    <tableColumn id="14" name="KAPAL" dataDxfId="142"/>
    <tableColumn id="15" name="ETD Kapal" dataDxfId="141"/>
    <tableColumn id="10" name="KETERANGAN" dataDxfId="140" dataCellStyle="Normal"/>
    <tableColumn id="5" name="P" dataDxfId="139" dataCellStyle="Normal"/>
    <tableColumn id="6" name="L" dataDxfId="138" dataCellStyle="Normal"/>
    <tableColumn id="7" name="T" dataDxfId="137" dataCellStyle="Normal"/>
    <tableColumn id="4" name="ACT KG" dataDxfId="136" dataCellStyle="Normal"/>
    <tableColumn id="8" name="KG VOLUME" dataDxfId="135" dataCellStyle="Normal"/>
    <tableColumn id="19" name="PEMBULATAN" dataDxfId="134"/>
  </tableColumns>
  <tableStyleInfo name="Table Style 1" showFirstColumn="0" showLastColumn="0" showRowStripes="1" showColumnStripes="0"/>
</table>
</file>

<file path=xl/tables/table47.xml><?xml version="1.0" encoding="utf-8"?>
<table xmlns="http://schemas.openxmlformats.org/spreadsheetml/2006/main" id="48" name="Table224578910112345678910111213141516171819202122232425262728293031323334353637383940414243444546474849" displayName="Table224578910112345678910111213141516171819202122232425262728293031323334353637383940414243444546474849" ref="C2:N6" totalsRowShown="0" headerRowDxfId="131" dataDxfId="129" headerRowBorderDxfId="130">
  <tableColumns count="12">
    <tableColumn id="1" name="NOMOR" dataDxfId="128" dataCellStyle="Normal"/>
    <tableColumn id="3" name="TUJUAN" dataDxfId="127" dataCellStyle="Normal"/>
    <tableColumn id="16" name="Pick Up" dataDxfId="126"/>
    <tableColumn id="14" name="KAPAL" dataDxfId="125"/>
    <tableColumn id="15" name="ETD Kapal" dataDxfId="124"/>
    <tableColumn id="10" name="KETERANGAN" dataDxfId="123" dataCellStyle="Normal"/>
    <tableColumn id="5" name="P" dataDxfId="122" dataCellStyle="Normal"/>
    <tableColumn id="6" name="L" dataDxfId="121" dataCellStyle="Normal"/>
    <tableColumn id="7" name="T" dataDxfId="120" dataCellStyle="Normal"/>
    <tableColumn id="4" name="ACT KG" dataDxfId="119" dataCellStyle="Normal"/>
    <tableColumn id="8" name="KG VOLUME" dataDxfId="118" dataCellStyle="Normal"/>
    <tableColumn id="19" name="PEMBULATAN" dataDxfId="117"/>
  </tableColumns>
  <tableStyleInfo name="Table Style 1" showFirstColumn="0" showLastColumn="0" showRowStripes="1" showColumnStripes="0"/>
</table>
</file>

<file path=xl/tables/table48.xml><?xml version="1.0" encoding="utf-8"?>
<table xmlns="http://schemas.openxmlformats.org/spreadsheetml/2006/main" id="49" name="Table22457891011234567891011121314151617181920212223242526272829303132333435363738394041424344454647484950" displayName="Table22457891011234567891011121314151617181920212223242526272829303132333435363738394041424344454647484950" ref="C2:N26" totalsRowShown="0" headerRowDxfId="114" dataDxfId="112" headerRowBorderDxfId="113">
  <tableColumns count="12">
    <tableColumn id="1" name="NOMOR" dataDxfId="111" dataCellStyle="Normal"/>
    <tableColumn id="3" name="TUJUAN" dataDxfId="110" dataCellStyle="Normal"/>
    <tableColumn id="16" name="Pick Up" dataDxfId="109"/>
    <tableColumn id="14" name="KAPAL" dataDxfId="108"/>
    <tableColumn id="15" name="ETD Kapal" dataDxfId="107"/>
    <tableColumn id="10" name="KETERANGAN" dataDxfId="106" dataCellStyle="Normal"/>
    <tableColumn id="5" name="P" dataDxfId="105" dataCellStyle="Normal"/>
    <tableColumn id="6" name="L" dataDxfId="104" dataCellStyle="Normal"/>
    <tableColumn id="7" name="T" dataDxfId="103" dataCellStyle="Normal"/>
    <tableColumn id="4" name="ACT KG" dataDxfId="102" dataCellStyle="Normal"/>
    <tableColumn id="8" name="KG VOLUME" dataDxfId="101" dataCellStyle="Normal"/>
    <tableColumn id="19" name="PEMBULATAN" dataDxfId="100"/>
  </tableColumns>
  <tableStyleInfo name="Table Style 1" showFirstColumn="0" showLastColumn="0" showRowStripes="1" showColumnStripes="0"/>
</table>
</file>

<file path=xl/tables/table49.xml><?xml version="1.0" encoding="utf-8"?>
<table xmlns="http://schemas.openxmlformats.org/spreadsheetml/2006/main" id="50" name="Table2245789101123456789101112131415161718192021222324252627282930313233343536373839404142434445464748495051" displayName="Table2245789101123456789101112131415161718192021222324252627282930313233343536373839404142434445464748495051" ref="C2:N6" totalsRowShown="0" headerRowDxfId="97" dataDxfId="95" headerRowBorderDxfId="96">
  <tableColumns count="12">
    <tableColumn id="1" name="NOMOR" dataDxfId="94" dataCellStyle="Normal"/>
    <tableColumn id="3" name="TUJUAN" dataDxfId="93" dataCellStyle="Normal"/>
    <tableColumn id="16" name="Pick Up" dataDxfId="92"/>
    <tableColumn id="14" name="KAPAL" dataDxfId="91"/>
    <tableColumn id="15" name="ETD Kapal" dataDxfId="90"/>
    <tableColumn id="10" name="KETERANGAN" dataDxfId="89" dataCellStyle="Normal"/>
    <tableColumn id="5" name="P" dataDxfId="88" dataCellStyle="Normal"/>
    <tableColumn id="6" name="L" dataDxfId="87" dataCellStyle="Normal"/>
    <tableColumn id="7" name="T" dataDxfId="86" dataCellStyle="Normal"/>
    <tableColumn id="4" name="ACT KG" dataDxfId="85" dataCellStyle="Normal"/>
    <tableColumn id="8" name="KG VOLUME" dataDxfId="84" dataCellStyle="Normal"/>
    <tableColumn id="19" name="PEMBULATAN" dataDxfId="8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7" totalsRowShown="0" headerRowDxfId="855" dataDxfId="853" headerRowBorderDxfId="854">
  <tableColumns count="12">
    <tableColumn id="1" name="NOMOR" dataDxfId="852" dataCellStyle="Normal"/>
    <tableColumn id="3" name="TUJUAN" dataDxfId="851" dataCellStyle="Normal"/>
    <tableColumn id="16" name="Pick Up" dataDxfId="850"/>
    <tableColumn id="14" name="KAPAL" dataDxfId="849"/>
    <tableColumn id="15" name="ETD Kapal" dataDxfId="848"/>
    <tableColumn id="10" name="KETERANGAN" dataDxfId="847" dataCellStyle="Normal"/>
    <tableColumn id="5" name="P" dataDxfId="846" dataCellStyle="Normal"/>
    <tableColumn id="6" name="L" dataDxfId="845" dataCellStyle="Normal"/>
    <tableColumn id="7" name="T" dataDxfId="844" dataCellStyle="Normal"/>
    <tableColumn id="4" name="ACT KG" dataDxfId="843" dataCellStyle="Normal"/>
    <tableColumn id="8" name="KG VOLUME" dataDxfId="842" dataCellStyle="Normal"/>
    <tableColumn id="19" name="PEMBULATAN" dataDxfId="841"/>
  </tableColumns>
  <tableStyleInfo name="Table Style 1" showFirstColumn="0" showLastColumn="0" showRowStripes="1" showColumnStripes="0"/>
</table>
</file>

<file path=xl/tables/table50.xml><?xml version="1.0" encoding="utf-8"?>
<table xmlns="http://schemas.openxmlformats.org/spreadsheetml/2006/main" id="51" name="Table224578910112345678910111213141516171819202122232425262728293031323334353637383940414243444546474849505152" displayName="Table224578910112345678910111213141516171819202122232425262728293031323334353637383940414243444546474849505152" ref="C2:N33" totalsRowShown="0" headerRowDxfId="80" dataDxfId="78" headerRowBorderDxfId="79">
  <tableColumns count="12">
    <tableColumn id="1" name="NOMOR" dataDxfId="77" dataCellStyle="Normal"/>
    <tableColumn id="3" name="TUJUAN" dataDxfId="76" dataCellStyle="Normal"/>
    <tableColumn id="16" name="Pick Up" dataDxfId="75"/>
    <tableColumn id="14" name="KAPAL" dataDxfId="74"/>
    <tableColumn id="15" name="ETD Kapal" dataDxfId="73"/>
    <tableColumn id="10" name="KETERANGAN" dataDxfId="72" dataCellStyle="Normal"/>
    <tableColumn id="5" name="P" dataDxfId="71" dataCellStyle="Normal"/>
    <tableColumn id="6" name="L" dataDxfId="70" dataCellStyle="Normal"/>
    <tableColumn id="7" name="T" dataDxfId="69" dataCellStyle="Normal"/>
    <tableColumn id="4" name="ACT KG" dataDxfId="68" dataCellStyle="Normal"/>
    <tableColumn id="8" name="KG VOLUME" dataDxfId="67" dataCellStyle="Normal"/>
    <tableColumn id="19" name="PEMBULATAN" dataDxfId="66"/>
  </tableColumns>
  <tableStyleInfo name="Table Style 1" showFirstColumn="0" showLastColumn="0" showRowStripes="1" showColumnStripes="0"/>
</table>
</file>

<file path=xl/tables/table51.xml><?xml version="1.0" encoding="utf-8"?>
<table xmlns="http://schemas.openxmlformats.org/spreadsheetml/2006/main" id="52" name="Table22457891011234567891011121314151617181920212223242526272829303132333435363738394041424344454647484950515253" displayName="Table22457891011234567891011121314151617181920212223242526272829303132333435363738394041424344454647484950515253" ref="C2:N3" totalsRowShown="0" headerRowDxfId="64" dataDxfId="62" headerRowBorderDxfId="63">
  <tableColumns count="12">
    <tableColumn id="1" name="NOMOR" dataDxfId="61" dataCellStyle="Normal"/>
    <tableColumn id="3" name="TUJUAN" dataDxfId="60" dataCellStyle="Normal"/>
    <tableColumn id="16" name="Pick Up" dataDxfId="59"/>
    <tableColumn id="14" name="KAPAL" dataDxfId="58"/>
    <tableColumn id="15" name="ETD Kapal" dataDxfId="57"/>
    <tableColumn id="10" name="KETERANGAN" dataDxfId="56" dataCellStyle="Normal"/>
    <tableColumn id="5" name="P" dataDxfId="55" dataCellStyle="Normal"/>
    <tableColumn id="6" name="L" dataDxfId="54" dataCellStyle="Normal"/>
    <tableColumn id="7" name="T" dataDxfId="53" dataCellStyle="Normal"/>
    <tableColumn id="4" name="ACT KG" dataDxfId="52" dataCellStyle="Normal"/>
    <tableColumn id="8" name="KG VOLUME" dataDxfId="51" dataCellStyle="Normal"/>
    <tableColumn id="19" name="PEMBULATAN" dataDxfId="50"/>
  </tableColumns>
  <tableStyleInfo name="Table Style 1" showFirstColumn="0" showLastColumn="0" showRowStripes="1" showColumnStripes="0"/>
</table>
</file>

<file path=xl/tables/table52.xml><?xml version="1.0" encoding="utf-8"?>
<table xmlns="http://schemas.openxmlformats.org/spreadsheetml/2006/main" id="53" name="Table2245789101123456789101112131415161718192021222324252627282930313233343536373839404142434445464748495051525354" displayName="Table2245789101123456789101112131415161718192021222324252627282930313233343536373839404142434445464748495051525354" ref="C2:N27" totalsRowShown="0" headerRowDxfId="47" dataDxfId="45" headerRowBorderDxfId="46">
  <tableColumns count="12">
    <tableColumn id="1" name="NOMOR" dataDxfId="44" dataCellStyle="Normal"/>
    <tableColumn id="3" name="TUJUAN" dataDxfId="43" dataCellStyle="Normal"/>
    <tableColumn id="16" name="Pick Up" dataDxfId="42"/>
    <tableColumn id="14" name="KAPAL" dataDxfId="41"/>
    <tableColumn id="15" name="ETD Kapal" dataDxfId="40"/>
    <tableColumn id="10" name="KETERANGAN" dataDxfId="39" dataCellStyle="Normal"/>
    <tableColumn id="5" name="P" dataDxfId="38" dataCellStyle="Normal"/>
    <tableColumn id="6" name="L" dataDxfId="37" dataCellStyle="Normal"/>
    <tableColumn id="7" name="T" dataDxfId="36" dataCellStyle="Normal"/>
    <tableColumn id="4" name="ACT KG" dataDxfId="35" dataCellStyle="Normal"/>
    <tableColumn id="8" name="KG VOLUME" dataDxfId="34" dataCellStyle="Normal"/>
    <tableColumn id="19" name="PEMBULATAN" dataDxfId="33"/>
  </tableColumns>
  <tableStyleInfo name="Table Style 1" showFirstColumn="0" showLastColumn="0" showRowStripes="1" showColumnStripes="0"/>
</table>
</file>

<file path=xl/tables/table53.xml><?xml version="1.0" encoding="utf-8"?>
<table xmlns="http://schemas.openxmlformats.org/spreadsheetml/2006/main" id="54" name="Table224578910112345678910111213141516171819202122232425262728293031323334353637383940414243444546474849505152535455" displayName="Table224578910112345678910111213141516171819202122232425262728293031323334353637383940414243444546474849505152535455" ref="C2:N3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54.xml><?xml version="1.0" encoding="utf-8"?>
<table xmlns="http://schemas.openxmlformats.org/spreadsheetml/2006/main" id="55" name="Table22457891011234567891011121314151617181920212223242526272829303132333435363738394041424344454647484950515253545556" displayName="Table22457891011234567891011121314151617181920212223242526272829303132333435363738394041424344454647484950515253545556" ref="C2:N31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6" totalsRowShown="0" headerRowDxfId="838" dataDxfId="836" headerRowBorderDxfId="837">
  <tableColumns count="12">
    <tableColumn id="1" name="NOMOR" dataDxfId="835" dataCellStyle="Normal"/>
    <tableColumn id="3" name="TUJUAN" dataDxfId="834" dataCellStyle="Normal"/>
    <tableColumn id="16" name="Pick Up" dataDxfId="833"/>
    <tableColumn id="14" name="KAPAL" dataDxfId="832"/>
    <tableColumn id="15" name="ETD Kapal" dataDxfId="831"/>
    <tableColumn id="10" name="KETERANGAN" dataDxfId="830" dataCellStyle="Normal"/>
    <tableColumn id="5" name="P" dataDxfId="829" dataCellStyle="Normal"/>
    <tableColumn id="6" name="L" dataDxfId="828" dataCellStyle="Normal"/>
    <tableColumn id="7" name="T" dataDxfId="827" dataCellStyle="Normal"/>
    <tableColumn id="4" name="ACT KG" dataDxfId="826" dataCellStyle="Normal"/>
    <tableColumn id="8" name="KG VOLUME" dataDxfId="825" dataCellStyle="Normal"/>
    <tableColumn id="19" name="PEMBULATAN" dataDxfId="824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25" totalsRowShown="0" headerRowDxfId="820" dataDxfId="818" headerRowBorderDxfId="819">
  <tableColumns count="12">
    <tableColumn id="1" name="NOMOR" dataDxfId="817" dataCellStyle="Normal"/>
    <tableColumn id="3" name="TUJUAN" dataDxfId="816" dataCellStyle="Normal"/>
    <tableColumn id="16" name="Pick Up" dataDxfId="815"/>
    <tableColumn id="14" name="KAPAL" dataDxfId="814"/>
    <tableColumn id="15" name="ETD Kapal" dataDxfId="813"/>
    <tableColumn id="10" name="KETERANGAN" dataDxfId="812" dataCellStyle="Normal"/>
    <tableColumn id="5" name="P" dataDxfId="811" dataCellStyle="Normal"/>
    <tableColumn id="6" name="L" dataDxfId="810" dataCellStyle="Normal"/>
    <tableColumn id="7" name="T" dataDxfId="809" dataCellStyle="Normal"/>
    <tableColumn id="4" name="ACT KG" dataDxfId="808" dataCellStyle="Normal"/>
    <tableColumn id="8" name="KG VOLUME" dataDxfId="807" dataCellStyle="Normal"/>
    <tableColumn id="19" name="PEMBULATAN" dataDxfId="806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41" totalsRowShown="0" headerRowDxfId="802" dataDxfId="800" headerRowBorderDxfId="801">
  <tableColumns count="12">
    <tableColumn id="1" name="NOMOR" dataDxfId="799" dataCellStyle="Normal"/>
    <tableColumn id="3" name="TUJUAN" dataDxfId="798" dataCellStyle="Normal"/>
    <tableColumn id="16" name="Pick Up" dataDxfId="797"/>
    <tableColumn id="14" name="KAPAL" dataDxfId="796"/>
    <tableColumn id="15" name="ETD Kapal" dataDxfId="795"/>
    <tableColumn id="10" name="KETERANGAN" dataDxfId="794" dataCellStyle="Normal"/>
    <tableColumn id="5" name="P" dataDxfId="793" dataCellStyle="Normal"/>
    <tableColumn id="6" name="L" dataDxfId="792" dataCellStyle="Normal"/>
    <tableColumn id="7" name="T" dataDxfId="791" dataCellStyle="Normal"/>
    <tableColumn id="4" name="ACT KG" dataDxfId="790" dataCellStyle="Normal"/>
    <tableColumn id="8" name="KG VOLUME" dataDxfId="789" dataCellStyle="Normal"/>
    <tableColumn id="19" name="PEMBULATAN" dataDxfId="788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4" totalsRowShown="0" headerRowDxfId="785" dataDxfId="783" headerRowBorderDxfId="784">
  <tableColumns count="12">
    <tableColumn id="1" name="NOMOR" dataDxfId="782" dataCellStyle="Normal"/>
    <tableColumn id="3" name="TUJUAN" dataDxfId="781" dataCellStyle="Normal"/>
    <tableColumn id="16" name="Pick Up" dataDxfId="780"/>
    <tableColumn id="14" name="KAPAL" dataDxfId="779"/>
    <tableColumn id="15" name="ETD Kapal" dataDxfId="778"/>
    <tableColumn id="10" name="KETERANGAN" dataDxfId="777" dataCellStyle="Normal"/>
    <tableColumn id="5" name="P" dataDxfId="776" dataCellStyle="Normal"/>
    <tableColumn id="6" name="L" dataDxfId="775" dataCellStyle="Normal"/>
    <tableColumn id="7" name="T" dataDxfId="774" dataCellStyle="Normal"/>
    <tableColumn id="4" name="ACT KG" dataDxfId="773" dataCellStyle="Normal"/>
    <tableColumn id="8" name="KG VOLUME" dataDxfId="772" dataCellStyle="Normal"/>
    <tableColumn id="19" name="PEMBULATAN" dataDxfId="77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96"/>
  <sheetViews>
    <sheetView tabSelected="1" topLeftCell="A79" workbookViewId="0">
      <selection activeCell="J83" sqref="J83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28" t="s">
        <v>14</v>
      </c>
      <c r="B10" s="129"/>
      <c r="C10" s="129"/>
      <c r="D10" s="129"/>
      <c r="E10" s="129"/>
      <c r="F10" s="129"/>
      <c r="G10" s="129"/>
      <c r="H10" s="129"/>
      <c r="I10" s="129"/>
      <c r="J10" s="130"/>
    </row>
    <row r="12" spans="1:10" x14ac:dyDescent="0.25">
      <c r="A12" s="18" t="s">
        <v>15</v>
      </c>
      <c r="B12" s="18" t="s">
        <v>16</v>
      </c>
      <c r="G12" s="140" t="s">
        <v>49</v>
      </c>
      <c r="H12" s="140"/>
      <c r="I12" s="23" t="s">
        <v>17</v>
      </c>
      <c r="J12" s="24" t="s">
        <v>57</v>
      </c>
    </row>
    <row r="13" spans="1:10" x14ac:dyDescent="0.25">
      <c r="G13" s="140" t="s">
        <v>18</v>
      </c>
      <c r="H13" s="140"/>
      <c r="I13" s="23" t="s">
        <v>17</v>
      </c>
      <c r="J13" s="25" t="s">
        <v>982</v>
      </c>
    </row>
    <row r="14" spans="1:10" x14ac:dyDescent="0.25">
      <c r="G14" s="140" t="s">
        <v>51</v>
      </c>
      <c r="H14" s="140"/>
      <c r="I14" s="23" t="s">
        <v>17</v>
      </c>
      <c r="J14" s="18" t="s">
        <v>50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58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31" t="s">
        <v>28</v>
      </c>
      <c r="I17" s="132"/>
      <c r="J17" s="29" t="s">
        <v>29</v>
      </c>
    </row>
    <row r="18" spans="1:12" ht="48" customHeight="1" x14ac:dyDescent="0.25">
      <c r="A18" s="30">
        <v>1</v>
      </c>
      <c r="B18" s="31">
        <f>'402155'!E3</f>
        <v>44470</v>
      </c>
      <c r="C18" s="83">
        <f>'402155'!A3</f>
        <v>402155</v>
      </c>
      <c r="D18" s="32" t="s">
        <v>981</v>
      </c>
      <c r="E18" s="32" t="s">
        <v>83</v>
      </c>
      <c r="F18" s="33">
        <v>21</v>
      </c>
      <c r="G18" s="105">
        <f>'402155'!N24</f>
        <v>451.20075000000008</v>
      </c>
      <c r="H18" s="133">
        <v>7000</v>
      </c>
      <c r="I18" s="134"/>
      <c r="J18" s="34">
        <f>G18*H18</f>
        <v>3158405.2500000005</v>
      </c>
      <c r="L18"/>
    </row>
    <row r="19" spans="1:12" ht="48" customHeight="1" x14ac:dyDescent="0.25">
      <c r="A19" s="30">
        <f>A18+1</f>
        <v>2</v>
      </c>
      <c r="B19" s="31">
        <f>'402157'!E3</f>
        <v>44471</v>
      </c>
      <c r="C19" s="83">
        <f>'402157'!A3</f>
        <v>402157</v>
      </c>
      <c r="D19" s="32" t="s">
        <v>981</v>
      </c>
      <c r="E19" s="32" t="s">
        <v>83</v>
      </c>
      <c r="F19" s="33">
        <v>27</v>
      </c>
      <c r="G19" s="106">
        <f>'402157'!N30</f>
        <v>503.16199999999998</v>
      </c>
      <c r="H19" s="133">
        <v>7000</v>
      </c>
      <c r="I19" s="134"/>
      <c r="J19" s="34">
        <f t="shared" ref="J19:J71" si="0">G19*H19</f>
        <v>3522134</v>
      </c>
      <c r="L19"/>
    </row>
    <row r="20" spans="1:12" ht="48" customHeight="1" x14ac:dyDescent="0.25">
      <c r="A20" s="30">
        <f t="shared" ref="A20:A71" si="1">A19+1</f>
        <v>3</v>
      </c>
      <c r="B20" s="31">
        <f>'405780'!E3</f>
        <v>44471</v>
      </c>
      <c r="C20" s="83">
        <f>'405780'!A3</f>
        <v>405780</v>
      </c>
      <c r="D20" s="32" t="s">
        <v>981</v>
      </c>
      <c r="E20" s="32" t="s">
        <v>83</v>
      </c>
      <c r="F20" s="33">
        <v>5</v>
      </c>
      <c r="G20" s="106">
        <f>'405780'!N8</f>
        <v>82.65424999999999</v>
      </c>
      <c r="H20" s="133">
        <v>7000</v>
      </c>
      <c r="I20" s="134"/>
      <c r="J20" s="34">
        <f t="shared" si="0"/>
        <v>578579.74999999988</v>
      </c>
      <c r="L20"/>
    </row>
    <row r="21" spans="1:12" ht="48" customHeight="1" x14ac:dyDescent="0.25">
      <c r="A21" s="30">
        <f t="shared" si="1"/>
        <v>4</v>
      </c>
      <c r="B21" s="31" t="str">
        <f>'402162'!E3</f>
        <v>03-Okt-21</v>
      </c>
      <c r="C21" s="83">
        <f>'402162'!A3</f>
        <v>402162</v>
      </c>
      <c r="D21" s="32" t="s">
        <v>981</v>
      </c>
      <c r="E21" s="32" t="s">
        <v>83</v>
      </c>
      <c r="F21" s="33">
        <v>18</v>
      </c>
      <c r="G21" s="106">
        <f>'402162'!N21</f>
        <v>494.4735</v>
      </c>
      <c r="H21" s="133">
        <v>7000</v>
      </c>
      <c r="I21" s="134"/>
      <c r="J21" s="34">
        <f t="shared" si="0"/>
        <v>3461314.5</v>
      </c>
      <c r="L21"/>
    </row>
    <row r="22" spans="1:12" ht="48" customHeight="1" x14ac:dyDescent="0.25">
      <c r="A22" s="30">
        <f t="shared" si="1"/>
        <v>5</v>
      </c>
      <c r="B22" s="31" t="str">
        <f>'402164'!E3</f>
        <v>03-Okt-21</v>
      </c>
      <c r="C22" s="83">
        <f>'402164'!A3</f>
        <v>402164</v>
      </c>
      <c r="D22" s="32" t="s">
        <v>981</v>
      </c>
      <c r="E22" s="32" t="s">
        <v>83</v>
      </c>
      <c r="F22" s="33">
        <v>5</v>
      </c>
      <c r="G22" s="106">
        <f>'402164'!N8</f>
        <v>225.91650000000001</v>
      </c>
      <c r="H22" s="133">
        <v>7000</v>
      </c>
      <c r="I22" s="134"/>
      <c r="J22" s="34">
        <f t="shared" si="0"/>
        <v>1581415.5</v>
      </c>
      <c r="L22"/>
    </row>
    <row r="23" spans="1:12" ht="48" customHeight="1" x14ac:dyDescent="0.25">
      <c r="A23" s="30">
        <f t="shared" si="1"/>
        <v>6</v>
      </c>
      <c r="B23" s="31">
        <f>'402166'!E3</f>
        <v>44473</v>
      </c>
      <c r="C23" s="83">
        <f>'402166'!A3</f>
        <v>402166</v>
      </c>
      <c r="D23" s="32" t="s">
        <v>981</v>
      </c>
      <c r="E23" s="32" t="s">
        <v>83</v>
      </c>
      <c r="F23" s="33">
        <v>4</v>
      </c>
      <c r="G23" s="106">
        <f>'402166'!N7</f>
        <v>58.549499999999995</v>
      </c>
      <c r="H23" s="133">
        <v>7000</v>
      </c>
      <c r="I23" s="134"/>
      <c r="J23" s="34">
        <f t="shared" si="0"/>
        <v>409846.49999999994</v>
      </c>
      <c r="L23"/>
    </row>
    <row r="24" spans="1:12" ht="48" customHeight="1" x14ac:dyDescent="0.25">
      <c r="A24" s="30">
        <f t="shared" si="1"/>
        <v>7</v>
      </c>
      <c r="B24" s="31">
        <f>'402169'!E3</f>
        <v>44474</v>
      </c>
      <c r="C24" s="83">
        <f>'402169'!A3</f>
        <v>402169</v>
      </c>
      <c r="D24" s="32" t="s">
        <v>981</v>
      </c>
      <c r="E24" s="32" t="s">
        <v>83</v>
      </c>
      <c r="F24" s="33">
        <v>23</v>
      </c>
      <c r="G24" s="106">
        <f>'402169'!N26</f>
        <v>547.59974999999997</v>
      </c>
      <c r="H24" s="133">
        <v>7000</v>
      </c>
      <c r="I24" s="134"/>
      <c r="J24" s="34">
        <f t="shared" si="0"/>
        <v>3833198.25</v>
      </c>
      <c r="L24"/>
    </row>
    <row r="25" spans="1:12" ht="48" customHeight="1" x14ac:dyDescent="0.25">
      <c r="A25" s="30">
        <f t="shared" si="1"/>
        <v>8</v>
      </c>
      <c r="B25" s="31">
        <f>'402171'!E3</f>
        <v>44475</v>
      </c>
      <c r="C25" s="83">
        <f>'402171'!A3</f>
        <v>402171</v>
      </c>
      <c r="D25" s="32" t="s">
        <v>981</v>
      </c>
      <c r="E25" s="32" t="s">
        <v>83</v>
      </c>
      <c r="F25" s="33">
        <v>39</v>
      </c>
      <c r="G25" s="106">
        <f>'402171'!N42</f>
        <v>686.60474999999985</v>
      </c>
      <c r="H25" s="133">
        <v>7000</v>
      </c>
      <c r="I25" s="134"/>
      <c r="J25" s="34">
        <f t="shared" si="0"/>
        <v>4806233.2499999991</v>
      </c>
      <c r="L25"/>
    </row>
    <row r="26" spans="1:12" ht="48" customHeight="1" x14ac:dyDescent="0.25">
      <c r="A26" s="30">
        <f t="shared" si="1"/>
        <v>9</v>
      </c>
      <c r="B26" s="31">
        <f>'402173'!E3</f>
        <v>44475</v>
      </c>
      <c r="C26" s="83">
        <f>'402173'!A3</f>
        <v>402173</v>
      </c>
      <c r="D26" s="32" t="s">
        <v>981</v>
      </c>
      <c r="E26" s="32" t="s">
        <v>83</v>
      </c>
      <c r="F26" s="33">
        <v>2</v>
      </c>
      <c r="G26" s="106">
        <f>'402173'!N5</f>
        <v>19.077750000000002</v>
      </c>
      <c r="H26" s="133">
        <v>7000</v>
      </c>
      <c r="I26" s="134"/>
      <c r="J26" s="34">
        <f t="shared" si="0"/>
        <v>133544.25</v>
      </c>
      <c r="L26"/>
    </row>
    <row r="27" spans="1:12" ht="48" customHeight="1" x14ac:dyDescent="0.25">
      <c r="A27" s="30">
        <f t="shared" si="1"/>
        <v>10</v>
      </c>
      <c r="B27" s="31">
        <f>'402175'!E3</f>
        <v>44476</v>
      </c>
      <c r="C27" s="83">
        <f>'402175'!A3</f>
        <v>402175</v>
      </c>
      <c r="D27" s="32" t="s">
        <v>981</v>
      </c>
      <c r="E27" s="32" t="s">
        <v>83</v>
      </c>
      <c r="F27" s="33">
        <v>19</v>
      </c>
      <c r="G27" s="106">
        <f>'402175'!N21</f>
        <v>353.75599999999997</v>
      </c>
      <c r="H27" s="133">
        <v>7000</v>
      </c>
      <c r="I27" s="134"/>
      <c r="J27" s="34">
        <f t="shared" si="0"/>
        <v>2476292</v>
      </c>
      <c r="L27"/>
    </row>
    <row r="28" spans="1:12" ht="48" customHeight="1" x14ac:dyDescent="0.25">
      <c r="A28" s="30">
        <f t="shared" si="1"/>
        <v>11</v>
      </c>
      <c r="B28" s="31">
        <f>'402177'!E3</f>
        <v>44476</v>
      </c>
      <c r="C28" s="83">
        <f>'402177'!A3</f>
        <v>402177</v>
      </c>
      <c r="D28" s="32" t="s">
        <v>981</v>
      </c>
      <c r="E28" s="32" t="s">
        <v>83</v>
      </c>
      <c r="F28" s="33">
        <v>2</v>
      </c>
      <c r="G28" s="106">
        <f>'402177'!N5</f>
        <v>56.25</v>
      </c>
      <c r="H28" s="133">
        <v>7000</v>
      </c>
      <c r="I28" s="134"/>
      <c r="J28" s="34">
        <f t="shared" si="0"/>
        <v>393750</v>
      </c>
      <c r="L28"/>
    </row>
    <row r="29" spans="1:12" ht="48" customHeight="1" x14ac:dyDescent="0.25">
      <c r="A29" s="30">
        <f t="shared" si="1"/>
        <v>12</v>
      </c>
      <c r="B29" s="31">
        <f>'402179'!E3</f>
        <v>44477</v>
      </c>
      <c r="C29" s="83">
        <f>'402179'!A3</f>
        <v>402179</v>
      </c>
      <c r="D29" s="32" t="s">
        <v>981</v>
      </c>
      <c r="E29" s="32" t="s">
        <v>83</v>
      </c>
      <c r="F29" s="33">
        <v>18</v>
      </c>
      <c r="G29" s="106">
        <f>'402179'!N21</f>
        <v>464.71800000000002</v>
      </c>
      <c r="H29" s="133">
        <v>7000</v>
      </c>
      <c r="I29" s="134"/>
      <c r="J29" s="34">
        <f t="shared" si="0"/>
        <v>3253026</v>
      </c>
      <c r="L29"/>
    </row>
    <row r="30" spans="1:12" ht="48" customHeight="1" x14ac:dyDescent="0.25">
      <c r="A30" s="30">
        <f t="shared" si="1"/>
        <v>13</v>
      </c>
      <c r="B30" s="31">
        <f>'402181'!E3</f>
        <v>44477</v>
      </c>
      <c r="C30" s="83">
        <f>'402181'!A3</f>
        <v>402181</v>
      </c>
      <c r="D30" s="32" t="s">
        <v>981</v>
      </c>
      <c r="E30" s="32" t="s">
        <v>83</v>
      </c>
      <c r="F30" s="33">
        <v>8</v>
      </c>
      <c r="G30" s="106">
        <f>'402181'!N11</f>
        <v>213.49099999999999</v>
      </c>
      <c r="H30" s="133">
        <v>7000</v>
      </c>
      <c r="I30" s="134"/>
      <c r="J30" s="34">
        <f t="shared" si="0"/>
        <v>1494437</v>
      </c>
      <c r="L30"/>
    </row>
    <row r="31" spans="1:12" ht="48" customHeight="1" x14ac:dyDescent="0.25">
      <c r="A31" s="30">
        <f t="shared" si="1"/>
        <v>14</v>
      </c>
      <c r="B31" s="31">
        <f>'402183'!E3</f>
        <v>44478</v>
      </c>
      <c r="C31" s="83">
        <f>'402183'!A3</f>
        <v>402183</v>
      </c>
      <c r="D31" s="32" t="s">
        <v>981</v>
      </c>
      <c r="E31" s="32" t="s">
        <v>83</v>
      </c>
      <c r="F31" s="33">
        <v>25</v>
      </c>
      <c r="G31" s="106">
        <f>'402183'!N28</f>
        <v>562.88599999999997</v>
      </c>
      <c r="H31" s="133">
        <v>7000</v>
      </c>
      <c r="I31" s="134"/>
      <c r="J31" s="34">
        <f t="shared" si="0"/>
        <v>3940202</v>
      </c>
      <c r="L31"/>
    </row>
    <row r="32" spans="1:12" ht="48" customHeight="1" x14ac:dyDescent="0.25">
      <c r="A32" s="30">
        <f t="shared" si="1"/>
        <v>15</v>
      </c>
      <c r="B32" s="31">
        <f>'402186'!E3</f>
        <v>44479</v>
      </c>
      <c r="C32" s="83">
        <f>'402186'!A3</f>
        <v>402186</v>
      </c>
      <c r="D32" s="32" t="s">
        <v>981</v>
      </c>
      <c r="E32" s="32" t="s">
        <v>83</v>
      </c>
      <c r="F32" s="33">
        <v>27</v>
      </c>
      <c r="G32" s="106">
        <f>'402186'!N30</f>
        <v>612.61099999999999</v>
      </c>
      <c r="H32" s="133">
        <v>7000</v>
      </c>
      <c r="I32" s="134"/>
      <c r="J32" s="34">
        <f t="shared" si="0"/>
        <v>4288277</v>
      </c>
      <c r="L32"/>
    </row>
    <row r="33" spans="1:12" ht="48" customHeight="1" x14ac:dyDescent="0.25">
      <c r="A33" s="30">
        <f t="shared" si="1"/>
        <v>16</v>
      </c>
      <c r="B33" s="31">
        <f>'402188'!E3</f>
        <v>44480</v>
      </c>
      <c r="C33" s="83">
        <f>'402188'!A3</f>
        <v>402188</v>
      </c>
      <c r="D33" s="32" t="s">
        <v>981</v>
      </c>
      <c r="E33" s="32" t="s">
        <v>83</v>
      </c>
      <c r="F33" s="33">
        <v>10</v>
      </c>
      <c r="G33" s="106">
        <f>'402188'!N13</f>
        <v>169.22649999999999</v>
      </c>
      <c r="H33" s="133">
        <v>7000</v>
      </c>
      <c r="I33" s="134"/>
      <c r="J33" s="34">
        <f t="shared" si="0"/>
        <v>1184585.5</v>
      </c>
      <c r="L33"/>
    </row>
    <row r="34" spans="1:12" ht="48" customHeight="1" x14ac:dyDescent="0.25">
      <c r="A34" s="30">
        <f t="shared" si="1"/>
        <v>17</v>
      </c>
      <c r="B34" s="31">
        <f>'402191'!E3</f>
        <v>44481</v>
      </c>
      <c r="C34" s="83">
        <f>'402191'!A3</f>
        <v>402191</v>
      </c>
      <c r="D34" s="32" t="s">
        <v>981</v>
      </c>
      <c r="E34" s="32" t="s">
        <v>83</v>
      </c>
      <c r="F34" s="33">
        <v>26</v>
      </c>
      <c r="G34" s="106">
        <f>'402191'!N29</f>
        <v>636.00075000000004</v>
      </c>
      <c r="H34" s="133">
        <v>7000</v>
      </c>
      <c r="I34" s="134"/>
      <c r="J34" s="34">
        <f t="shared" si="0"/>
        <v>4452005.25</v>
      </c>
      <c r="L34"/>
    </row>
    <row r="35" spans="1:12" ht="48" customHeight="1" x14ac:dyDescent="0.25">
      <c r="A35" s="30">
        <f t="shared" si="1"/>
        <v>18</v>
      </c>
      <c r="B35" s="31" t="str">
        <f>'402195'!E3</f>
        <v>13-Okt-21</v>
      </c>
      <c r="C35" s="83">
        <f>'402195'!A3</f>
        <v>402195</v>
      </c>
      <c r="D35" s="32" t="s">
        <v>981</v>
      </c>
      <c r="E35" s="32" t="s">
        <v>83</v>
      </c>
      <c r="F35" s="33">
        <v>15</v>
      </c>
      <c r="G35" s="106">
        <f>'402195'!N18</f>
        <v>232.14449999999999</v>
      </c>
      <c r="H35" s="133">
        <v>7000</v>
      </c>
      <c r="I35" s="134"/>
      <c r="J35" s="34">
        <f t="shared" si="0"/>
        <v>1625011.5</v>
      </c>
      <c r="L35"/>
    </row>
    <row r="36" spans="1:12" ht="48" customHeight="1" x14ac:dyDescent="0.25">
      <c r="A36" s="30">
        <f t="shared" si="1"/>
        <v>19</v>
      </c>
      <c r="B36" s="31" t="str">
        <f>'402198'!E3</f>
        <v>13-Okt-21</v>
      </c>
      <c r="C36" s="83">
        <f>'402198'!A3</f>
        <v>402198</v>
      </c>
      <c r="D36" s="32" t="s">
        <v>981</v>
      </c>
      <c r="E36" s="32" t="s">
        <v>83</v>
      </c>
      <c r="F36" s="33">
        <v>4</v>
      </c>
      <c r="G36" s="106">
        <f>'402198'!N7</f>
        <v>109.5485</v>
      </c>
      <c r="H36" s="133">
        <v>7000</v>
      </c>
      <c r="I36" s="134"/>
      <c r="J36" s="34">
        <f t="shared" si="0"/>
        <v>766839.5</v>
      </c>
      <c r="L36"/>
    </row>
    <row r="37" spans="1:12" ht="48" customHeight="1" x14ac:dyDescent="0.25">
      <c r="A37" s="30">
        <f t="shared" si="1"/>
        <v>20</v>
      </c>
      <c r="B37" s="31">
        <f>'402199'!E3</f>
        <v>44483</v>
      </c>
      <c r="C37" s="83">
        <f>'402199'!A3</f>
        <v>402199</v>
      </c>
      <c r="D37" s="32" t="s">
        <v>981</v>
      </c>
      <c r="E37" s="32" t="s">
        <v>83</v>
      </c>
      <c r="F37" s="33">
        <v>25</v>
      </c>
      <c r="G37" s="106">
        <f>'402199'!N28</f>
        <v>430.14025000000004</v>
      </c>
      <c r="H37" s="133">
        <v>7000</v>
      </c>
      <c r="I37" s="134"/>
      <c r="J37" s="34">
        <f t="shared" si="0"/>
        <v>3010981.7500000005</v>
      </c>
      <c r="L37"/>
    </row>
    <row r="38" spans="1:12" ht="48" customHeight="1" x14ac:dyDescent="0.25">
      <c r="A38" s="30">
        <f t="shared" si="1"/>
        <v>21</v>
      </c>
      <c r="B38" s="31">
        <f>'402230'!E3</f>
        <v>44483</v>
      </c>
      <c r="C38" s="83">
        <f>'402230'!A3</f>
        <v>402230</v>
      </c>
      <c r="D38" s="32" t="s">
        <v>981</v>
      </c>
      <c r="E38" s="32" t="s">
        <v>83</v>
      </c>
      <c r="F38" s="33">
        <v>19</v>
      </c>
      <c r="G38" s="106">
        <f>'402230'!N22</f>
        <v>244.2585</v>
      </c>
      <c r="H38" s="133">
        <v>7000</v>
      </c>
      <c r="I38" s="134"/>
      <c r="J38" s="34">
        <f t="shared" si="0"/>
        <v>1709809.5</v>
      </c>
      <c r="L38"/>
    </row>
    <row r="39" spans="1:12" ht="48" customHeight="1" x14ac:dyDescent="0.25">
      <c r="A39" s="30">
        <f t="shared" si="1"/>
        <v>22</v>
      </c>
      <c r="B39" s="31">
        <f>'402232'!E3</f>
        <v>44484</v>
      </c>
      <c r="C39" s="83">
        <f>'402232'!A3</f>
        <v>402232</v>
      </c>
      <c r="D39" s="32" t="s">
        <v>981</v>
      </c>
      <c r="E39" s="32" t="s">
        <v>83</v>
      </c>
      <c r="F39" s="33">
        <v>45</v>
      </c>
      <c r="G39" s="106">
        <f>'402232'!N48</f>
        <v>716</v>
      </c>
      <c r="H39" s="133">
        <v>7000</v>
      </c>
      <c r="I39" s="134"/>
      <c r="J39" s="34">
        <f t="shared" si="0"/>
        <v>5012000</v>
      </c>
      <c r="L39"/>
    </row>
    <row r="40" spans="1:12" ht="48" customHeight="1" x14ac:dyDescent="0.25">
      <c r="A40" s="30">
        <f t="shared" si="1"/>
        <v>23</v>
      </c>
      <c r="B40" s="31">
        <f>'403901'!E3</f>
        <v>44484</v>
      </c>
      <c r="C40" s="83">
        <f>'403901'!A3</f>
        <v>403901</v>
      </c>
      <c r="D40" s="32" t="s">
        <v>981</v>
      </c>
      <c r="E40" s="32" t="s">
        <v>83</v>
      </c>
      <c r="F40" s="33">
        <v>4</v>
      </c>
      <c r="G40" s="106">
        <f>'403901'!N7</f>
        <v>46</v>
      </c>
      <c r="H40" s="133">
        <v>7000</v>
      </c>
      <c r="I40" s="134"/>
      <c r="J40" s="34">
        <f t="shared" si="0"/>
        <v>322000</v>
      </c>
      <c r="L40"/>
    </row>
    <row r="41" spans="1:12" ht="48" customHeight="1" x14ac:dyDescent="0.25">
      <c r="A41" s="30">
        <f t="shared" si="1"/>
        <v>24</v>
      </c>
      <c r="B41" s="31">
        <f>'403904'!E3</f>
        <v>44485</v>
      </c>
      <c r="C41" s="83">
        <f>'403904'!A3</f>
        <v>403904</v>
      </c>
      <c r="D41" s="32" t="s">
        <v>981</v>
      </c>
      <c r="E41" s="32" t="s">
        <v>83</v>
      </c>
      <c r="F41" s="33">
        <v>3</v>
      </c>
      <c r="G41" s="106">
        <f>'403904'!N6</f>
        <v>60.559249999999999</v>
      </c>
      <c r="H41" s="133">
        <v>7000</v>
      </c>
      <c r="I41" s="134"/>
      <c r="J41" s="34">
        <f t="shared" si="0"/>
        <v>423914.75</v>
      </c>
      <c r="L41"/>
    </row>
    <row r="42" spans="1:12" ht="48" customHeight="1" x14ac:dyDescent="0.25">
      <c r="A42" s="30">
        <f t="shared" si="1"/>
        <v>25</v>
      </c>
      <c r="B42" s="31">
        <f>'402234'!E3</f>
        <v>44485</v>
      </c>
      <c r="C42" s="83">
        <f>'402234'!A3</f>
        <v>402234</v>
      </c>
      <c r="D42" s="32" t="s">
        <v>981</v>
      </c>
      <c r="E42" s="32" t="s">
        <v>83</v>
      </c>
      <c r="F42" s="33">
        <v>27</v>
      </c>
      <c r="G42" s="106">
        <f>'402234'!N30</f>
        <v>476.24549999999999</v>
      </c>
      <c r="H42" s="133">
        <v>7000</v>
      </c>
      <c r="I42" s="134"/>
      <c r="J42" s="34">
        <f t="shared" si="0"/>
        <v>3333718.5</v>
      </c>
      <c r="L42"/>
    </row>
    <row r="43" spans="1:12" ht="48" customHeight="1" x14ac:dyDescent="0.25">
      <c r="A43" s="30">
        <f t="shared" si="1"/>
        <v>26</v>
      </c>
      <c r="B43" s="31">
        <f>'402236'!E3</f>
        <v>44486</v>
      </c>
      <c r="C43" s="83">
        <f>'402236'!A3</f>
        <v>402236</v>
      </c>
      <c r="D43" s="32" t="s">
        <v>981</v>
      </c>
      <c r="E43" s="32" t="s">
        <v>83</v>
      </c>
      <c r="F43" s="33">
        <v>9</v>
      </c>
      <c r="G43" s="106">
        <f>'402236'!N12</f>
        <v>107.4</v>
      </c>
      <c r="H43" s="133">
        <v>7000</v>
      </c>
      <c r="I43" s="134"/>
      <c r="J43" s="34">
        <f t="shared" si="0"/>
        <v>751800</v>
      </c>
      <c r="L43"/>
    </row>
    <row r="44" spans="1:12" ht="48" customHeight="1" x14ac:dyDescent="0.25">
      <c r="A44" s="30">
        <f t="shared" si="1"/>
        <v>27</v>
      </c>
      <c r="B44" s="31">
        <f>'402238'!E3</f>
        <v>44487</v>
      </c>
      <c r="C44" s="83">
        <f>'402238'!A3</f>
        <v>402238</v>
      </c>
      <c r="D44" s="32" t="s">
        <v>981</v>
      </c>
      <c r="E44" s="32" t="s">
        <v>83</v>
      </c>
      <c r="F44" s="33">
        <v>9</v>
      </c>
      <c r="G44" s="106">
        <f>'402238'!N12</f>
        <v>94.374250000000004</v>
      </c>
      <c r="H44" s="133">
        <v>7000</v>
      </c>
      <c r="I44" s="134"/>
      <c r="J44" s="34">
        <f t="shared" si="0"/>
        <v>660619.75</v>
      </c>
      <c r="L44"/>
    </row>
    <row r="45" spans="1:12" ht="48" customHeight="1" x14ac:dyDescent="0.25">
      <c r="A45" s="30">
        <f t="shared" si="1"/>
        <v>28</v>
      </c>
      <c r="B45" s="31">
        <f>'403909'!E3</f>
        <v>44486</v>
      </c>
      <c r="C45" s="83">
        <f>'403909'!A3</f>
        <v>403909</v>
      </c>
      <c r="D45" s="32" t="s">
        <v>981</v>
      </c>
      <c r="E45" s="32" t="s">
        <v>83</v>
      </c>
      <c r="F45" s="33">
        <v>3</v>
      </c>
      <c r="G45" s="106">
        <f>'403909'!N6</f>
        <v>38.5</v>
      </c>
      <c r="H45" s="133">
        <v>7000</v>
      </c>
      <c r="I45" s="134"/>
      <c r="J45" s="34">
        <f t="shared" si="0"/>
        <v>269500</v>
      </c>
      <c r="L45"/>
    </row>
    <row r="46" spans="1:12" ht="48" customHeight="1" x14ac:dyDescent="0.25">
      <c r="A46" s="30">
        <f t="shared" si="1"/>
        <v>29</v>
      </c>
      <c r="B46" s="31">
        <f>'402302'!E3</f>
        <v>44488</v>
      </c>
      <c r="C46" s="83">
        <f>'402302'!A3</f>
        <v>402302</v>
      </c>
      <c r="D46" s="32" t="s">
        <v>981</v>
      </c>
      <c r="E46" s="32" t="s">
        <v>83</v>
      </c>
      <c r="F46" s="33">
        <v>29</v>
      </c>
      <c r="G46" s="106">
        <f>'402302'!N32</f>
        <v>399.15999999999997</v>
      </c>
      <c r="H46" s="133">
        <v>7000</v>
      </c>
      <c r="I46" s="134"/>
      <c r="J46" s="34">
        <f t="shared" si="0"/>
        <v>2794120</v>
      </c>
      <c r="L46"/>
    </row>
    <row r="47" spans="1:12" ht="48" customHeight="1" x14ac:dyDescent="0.25">
      <c r="A47" s="30">
        <f t="shared" si="1"/>
        <v>30</v>
      </c>
      <c r="B47" s="31">
        <f>'403914'!E3</f>
        <v>44489</v>
      </c>
      <c r="C47" s="83">
        <f>'403914'!A3</f>
        <v>403914</v>
      </c>
      <c r="D47" s="32" t="s">
        <v>981</v>
      </c>
      <c r="E47" s="32" t="s">
        <v>83</v>
      </c>
      <c r="F47" s="33">
        <v>1</v>
      </c>
      <c r="G47" s="106">
        <f>'403914'!N4</f>
        <v>7</v>
      </c>
      <c r="H47" s="133">
        <v>7000</v>
      </c>
      <c r="I47" s="134"/>
      <c r="J47" s="34">
        <f t="shared" si="0"/>
        <v>49000</v>
      </c>
      <c r="L47"/>
    </row>
    <row r="48" spans="1:12" ht="48" customHeight="1" x14ac:dyDescent="0.25">
      <c r="A48" s="30">
        <f t="shared" si="1"/>
        <v>31</v>
      </c>
      <c r="B48" s="31">
        <f>'401487'!E3</f>
        <v>44489</v>
      </c>
      <c r="C48" s="83">
        <f>'401487'!A3</f>
        <v>401487</v>
      </c>
      <c r="D48" s="32" t="s">
        <v>981</v>
      </c>
      <c r="E48" s="32" t="s">
        <v>83</v>
      </c>
      <c r="F48" s="33">
        <v>26</v>
      </c>
      <c r="G48" s="106">
        <f>'401487'!N29</f>
        <v>505.02149999999995</v>
      </c>
      <c r="H48" s="133">
        <v>7000</v>
      </c>
      <c r="I48" s="134"/>
      <c r="J48" s="34">
        <f t="shared" si="0"/>
        <v>3535150.4999999995</v>
      </c>
      <c r="L48"/>
    </row>
    <row r="49" spans="1:12" ht="48" customHeight="1" x14ac:dyDescent="0.25">
      <c r="A49" s="30">
        <f t="shared" si="1"/>
        <v>32</v>
      </c>
      <c r="B49" s="31">
        <f>'403916'!E3</f>
        <v>44490</v>
      </c>
      <c r="C49" s="83">
        <f>'403916'!A3</f>
        <v>403916</v>
      </c>
      <c r="D49" s="32" t="s">
        <v>981</v>
      </c>
      <c r="E49" s="32" t="s">
        <v>83</v>
      </c>
      <c r="F49" s="33">
        <v>4</v>
      </c>
      <c r="G49" s="106">
        <f>'403916'!N7</f>
        <v>52</v>
      </c>
      <c r="H49" s="133">
        <v>7000</v>
      </c>
      <c r="I49" s="134"/>
      <c r="J49" s="34">
        <f t="shared" si="0"/>
        <v>364000</v>
      </c>
      <c r="L49"/>
    </row>
    <row r="50" spans="1:12" ht="48" customHeight="1" x14ac:dyDescent="0.25">
      <c r="A50" s="30">
        <f t="shared" si="1"/>
        <v>33</v>
      </c>
      <c r="B50" s="31">
        <f>'401490'!E3</f>
        <v>44490</v>
      </c>
      <c r="C50" s="83">
        <f>'401490'!A3</f>
        <v>401490</v>
      </c>
      <c r="D50" s="32" t="s">
        <v>981</v>
      </c>
      <c r="E50" s="32" t="s">
        <v>83</v>
      </c>
      <c r="F50" s="33">
        <v>18</v>
      </c>
      <c r="G50" s="106">
        <f>'401490'!N21</f>
        <v>373.32274999999998</v>
      </c>
      <c r="H50" s="133">
        <v>7000</v>
      </c>
      <c r="I50" s="134"/>
      <c r="J50" s="34">
        <f t="shared" si="0"/>
        <v>2613259.25</v>
      </c>
      <c r="L50"/>
    </row>
    <row r="51" spans="1:12" ht="48" customHeight="1" x14ac:dyDescent="0.25">
      <c r="A51" s="30">
        <f t="shared" si="1"/>
        <v>34</v>
      </c>
      <c r="B51" s="31">
        <f>'403918'!E3</f>
        <v>44491</v>
      </c>
      <c r="C51" s="83">
        <f>'403918'!A3</f>
        <v>403918</v>
      </c>
      <c r="D51" s="32" t="s">
        <v>981</v>
      </c>
      <c r="E51" s="32" t="s">
        <v>83</v>
      </c>
      <c r="F51" s="33">
        <v>2</v>
      </c>
      <c r="G51" s="106">
        <f>'403918'!N5</f>
        <v>23</v>
      </c>
      <c r="H51" s="133">
        <v>7000</v>
      </c>
      <c r="I51" s="134"/>
      <c r="J51" s="34">
        <f t="shared" si="0"/>
        <v>161000</v>
      </c>
      <c r="L51"/>
    </row>
    <row r="52" spans="1:12" ht="48" customHeight="1" x14ac:dyDescent="0.25">
      <c r="A52" s="30">
        <f t="shared" si="1"/>
        <v>35</v>
      </c>
      <c r="B52" s="31">
        <f>'401492'!E3</f>
        <v>44491</v>
      </c>
      <c r="C52" s="83">
        <f>'401492'!A3</f>
        <v>401492</v>
      </c>
      <c r="D52" s="32" t="s">
        <v>981</v>
      </c>
      <c r="E52" s="32" t="s">
        <v>83</v>
      </c>
      <c r="F52" s="33">
        <v>24</v>
      </c>
      <c r="G52" s="106">
        <f>'401492'!N27</f>
        <v>417.32899999999989</v>
      </c>
      <c r="H52" s="133">
        <v>7000</v>
      </c>
      <c r="I52" s="134"/>
      <c r="J52" s="34">
        <f t="shared" si="0"/>
        <v>2921302.9999999991</v>
      </c>
      <c r="L52"/>
    </row>
    <row r="53" spans="1:12" ht="48" customHeight="1" x14ac:dyDescent="0.25">
      <c r="A53" s="30">
        <f t="shared" si="1"/>
        <v>36</v>
      </c>
      <c r="B53" s="31">
        <f>'403920'!E3</f>
        <v>44492</v>
      </c>
      <c r="C53" s="83">
        <f>'403920'!A3</f>
        <v>403920</v>
      </c>
      <c r="D53" s="32" t="s">
        <v>981</v>
      </c>
      <c r="E53" s="32" t="s">
        <v>83</v>
      </c>
      <c r="F53" s="33">
        <v>3</v>
      </c>
      <c r="G53" s="106">
        <f>'403920'!N6</f>
        <v>32.08</v>
      </c>
      <c r="H53" s="133">
        <v>7000</v>
      </c>
      <c r="I53" s="134"/>
      <c r="J53" s="34">
        <f t="shared" si="0"/>
        <v>224560</v>
      </c>
      <c r="L53"/>
    </row>
    <row r="54" spans="1:12" ht="48" customHeight="1" x14ac:dyDescent="0.25">
      <c r="A54" s="30">
        <f t="shared" si="1"/>
        <v>37</v>
      </c>
      <c r="B54" s="31">
        <f>'401495'!E3</f>
        <v>44492</v>
      </c>
      <c r="C54" s="83">
        <f>'401495'!A3</f>
        <v>401495</v>
      </c>
      <c r="D54" s="32" t="s">
        <v>981</v>
      </c>
      <c r="E54" s="32" t="s">
        <v>83</v>
      </c>
      <c r="F54" s="33">
        <v>33</v>
      </c>
      <c r="G54" s="106">
        <f>'401495'!N36</f>
        <v>745.36950000000002</v>
      </c>
      <c r="H54" s="133">
        <v>7000</v>
      </c>
      <c r="I54" s="134"/>
      <c r="J54" s="34">
        <f t="shared" si="0"/>
        <v>5217586.5</v>
      </c>
      <c r="L54"/>
    </row>
    <row r="55" spans="1:12" ht="48" customHeight="1" x14ac:dyDescent="0.25">
      <c r="A55" s="30">
        <f t="shared" si="1"/>
        <v>38</v>
      </c>
      <c r="B55" s="31" t="str">
        <f>Table224578910112345678910111213141516171819202122232425262728293031323334353637383940[Pick Up]</f>
        <v>24-Okt-21</v>
      </c>
      <c r="C55" s="83">
        <f>'403922'!A3</f>
        <v>403922</v>
      </c>
      <c r="D55" s="32" t="s">
        <v>981</v>
      </c>
      <c r="E55" s="32" t="s">
        <v>83</v>
      </c>
      <c r="F55" s="33">
        <v>1</v>
      </c>
      <c r="G55" s="106">
        <f>'403922'!N4</f>
        <v>30.965250000000001</v>
      </c>
      <c r="H55" s="133">
        <v>7000</v>
      </c>
      <c r="I55" s="134"/>
      <c r="J55" s="34">
        <f t="shared" si="0"/>
        <v>216756.75</v>
      </c>
      <c r="L55"/>
    </row>
    <row r="56" spans="1:12" ht="48" customHeight="1" x14ac:dyDescent="0.25">
      <c r="A56" s="30">
        <f t="shared" si="1"/>
        <v>39</v>
      </c>
      <c r="B56" s="31" t="str">
        <f>'401498'!E3</f>
        <v>24-Okt-21</v>
      </c>
      <c r="C56" s="127">
        <f>'401498'!A3</f>
        <v>401498</v>
      </c>
      <c r="D56" s="32" t="s">
        <v>981</v>
      </c>
      <c r="E56" s="32" t="s">
        <v>83</v>
      </c>
      <c r="F56" s="33">
        <v>21</v>
      </c>
      <c r="G56" s="106">
        <f>'401498'!N24</f>
        <v>399.32899999999995</v>
      </c>
      <c r="H56" s="133">
        <v>7000</v>
      </c>
      <c r="I56" s="134"/>
      <c r="J56" s="34">
        <f t="shared" si="0"/>
        <v>2795302.9999999995</v>
      </c>
      <c r="L56"/>
    </row>
    <row r="57" spans="1:12" ht="48" customHeight="1" x14ac:dyDescent="0.25">
      <c r="A57" s="30">
        <f t="shared" si="1"/>
        <v>40</v>
      </c>
      <c r="B57" s="31" t="str">
        <f>'403926'!E3</f>
        <v>25-Okt-21</v>
      </c>
      <c r="C57" s="127">
        <f>'403926'!A3</f>
        <v>403926</v>
      </c>
      <c r="D57" s="32" t="s">
        <v>981</v>
      </c>
      <c r="E57" s="32" t="s">
        <v>83</v>
      </c>
      <c r="F57" s="33">
        <v>2</v>
      </c>
      <c r="G57" s="106">
        <f>'403926'!N5</f>
        <v>42.875</v>
      </c>
      <c r="H57" s="133">
        <v>7000</v>
      </c>
      <c r="I57" s="134"/>
      <c r="J57" s="34">
        <f t="shared" si="0"/>
        <v>300125</v>
      </c>
      <c r="L57"/>
    </row>
    <row r="58" spans="1:12" ht="48" customHeight="1" x14ac:dyDescent="0.25">
      <c r="A58" s="30">
        <f t="shared" si="1"/>
        <v>41</v>
      </c>
      <c r="B58" s="31" t="str">
        <f>'402247'!E3</f>
        <v>25-Okt-21</v>
      </c>
      <c r="C58" s="83">
        <f>'402247'!A3</f>
        <v>402247</v>
      </c>
      <c r="D58" s="32" t="s">
        <v>981</v>
      </c>
      <c r="E58" s="32" t="s">
        <v>83</v>
      </c>
      <c r="F58" s="33">
        <v>7</v>
      </c>
      <c r="G58" s="106">
        <f>'402247'!N10</f>
        <v>116.31225000000001</v>
      </c>
      <c r="H58" s="133">
        <v>7000</v>
      </c>
      <c r="I58" s="134"/>
      <c r="J58" s="34">
        <f t="shared" si="0"/>
        <v>814185.75</v>
      </c>
      <c r="L58"/>
    </row>
    <row r="59" spans="1:12" ht="48" customHeight="1" x14ac:dyDescent="0.25">
      <c r="A59" s="30">
        <f t="shared" si="1"/>
        <v>42</v>
      </c>
      <c r="B59" s="31" t="str">
        <f>'403928'!E3</f>
        <v>26-Okt-21</v>
      </c>
      <c r="C59" s="83">
        <f>'403928'!A3</f>
        <v>403928</v>
      </c>
      <c r="D59" s="32" t="s">
        <v>981</v>
      </c>
      <c r="E59" s="32" t="s">
        <v>83</v>
      </c>
      <c r="F59" s="33">
        <v>6</v>
      </c>
      <c r="G59" s="106">
        <f>'403928'!N9</f>
        <v>150.72800000000001</v>
      </c>
      <c r="H59" s="133">
        <v>7000</v>
      </c>
      <c r="I59" s="134"/>
      <c r="J59" s="34">
        <f t="shared" si="0"/>
        <v>1055096</v>
      </c>
      <c r="L59"/>
    </row>
    <row r="60" spans="1:12" ht="48" customHeight="1" x14ac:dyDescent="0.25">
      <c r="A60" s="30">
        <f t="shared" si="1"/>
        <v>43</v>
      </c>
      <c r="B60" s="31" t="str">
        <f>'402422'!E3</f>
        <v>26-Okt-21</v>
      </c>
      <c r="C60" s="83">
        <f>'402422'!A3</f>
        <v>402422</v>
      </c>
      <c r="D60" s="32" t="s">
        <v>981</v>
      </c>
      <c r="E60" s="32" t="s">
        <v>83</v>
      </c>
      <c r="F60" s="33">
        <v>15</v>
      </c>
      <c r="G60" s="106">
        <f>'402422'!N18</f>
        <v>315.69899999999996</v>
      </c>
      <c r="H60" s="133">
        <v>7000</v>
      </c>
      <c r="I60" s="134"/>
      <c r="J60" s="34">
        <f t="shared" si="0"/>
        <v>2209892.9999999995</v>
      </c>
      <c r="L60"/>
    </row>
    <row r="61" spans="1:12" ht="48" customHeight="1" x14ac:dyDescent="0.25">
      <c r="A61" s="30">
        <f t="shared" si="1"/>
        <v>44</v>
      </c>
      <c r="B61" s="31" t="str">
        <f>'402426'!E3</f>
        <v>26-Okt-21</v>
      </c>
      <c r="C61" s="83">
        <f>'402426'!A3</f>
        <v>402426</v>
      </c>
      <c r="D61" s="32" t="s">
        <v>981</v>
      </c>
      <c r="E61" s="32" t="s">
        <v>83</v>
      </c>
      <c r="F61" s="33">
        <v>4</v>
      </c>
      <c r="G61" s="106">
        <f>'402426'!N7</f>
        <v>50.058999999999997</v>
      </c>
      <c r="H61" s="133">
        <v>7000</v>
      </c>
      <c r="I61" s="134"/>
      <c r="J61" s="34">
        <f t="shared" si="0"/>
        <v>350413</v>
      </c>
      <c r="L61"/>
    </row>
    <row r="62" spans="1:12" ht="48" customHeight="1" x14ac:dyDescent="0.25">
      <c r="A62" s="30">
        <f t="shared" si="1"/>
        <v>45</v>
      </c>
      <c r="B62" s="31" t="str">
        <f>'403930'!E3</f>
        <v>27-Okt-21</v>
      </c>
      <c r="C62" s="83">
        <f>'403930'!A3</f>
        <v>403930</v>
      </c>
      <c r="D62" s="32" t="s">
        <v>981</v>
      </c>
      <c r="E62" s="32" t="s">
        <v>83</v>
      </c>
      <c r="F62" s="33">
        <v>2</v>
      </c>
      <c r="G62" s="106">
        <f>'403930'!N5</f>
        <v>26.7</v>
      </c>
      <c r="H62" s="133">
        <v>7000</v>
      </c>
      <c r="I62" s="134"/>
      <c r="J62" s="34">
        <f t="shared" si="0"/>
        <v>186900</v>
      </c>
      <c r="L62"/>
    </row>
    <row r="63" spans="1:12" ht="48" customHeight="1" x14ac:dyDescent="0.25">
      <c r="A63" s="30">
        <f t="shared" si="1"/>
        <v>46</v>
      </c>
      <c r="B63" s="31" t="str">
        <f>'402432'!E3</f>
        <v>27-Okt-21</v>
      </c>
      <c r="C63" s="83">
        <f>'402432'!A3</f>
        <v>402432</v>
      </c>
      <c r="D63" s="32" t="s">
        <v>981</v>
      </c>
      <c r="E63" s="32" t="s">
        <v>83</v>
      </c>
      <c r="F63" s="33">
        <v>15</v>
      </c>
      <c r="G63" s="106">
        <f>'402432'!N18</f>
        <v>243.53200000000001</v>
      </c>
      <c r="H63" s="133">
        <v>7000</v>
      </c>
      <c r="I63" s="134"/>
      <c r="J63" s="34">
        <f t="shared" si="0"/>
        <v>1704724</v>
      </c>
      <c r="L63"/>
    </row>
    <row r="64" spans="1:12" ht="48" customHeight="1" x14ac:dyDescent="0.25">
      <c r="A64" s="30">
        <f t="shared" si="1"/>
        <v>47</v>
      </c>
      <c r="B64" s="31" t="str">
        <f>'404002'!E3</f>
        <v>28-Okt-21</v>
      </c>
      <c r="C64" s="83">
        <f>'404002'!A3</f>
        <v>404002</v>
      </c>
      <c r="D64" s="32" t="s">
        <v>981</v>
      </c>
      <c r="E64" s="32" t="s">
        <v>83</v>
      </c>
      <c r="F64" s="33">
        <v>4</v>
      </c>
      <c r="G64" s="106">
        <f>'404002'!N7</f>
        <v>54.797249999999998</v>
      </c>
      <c r="H64" s="133">
        <v>7000</v>
      </c>
      <c r="I64" s="134"/>
      <c r="J64" s="34">
        <f t="shared" si="0"/>
        <v>383580.75</v>
      </c>
      <c r="L64"/>
    </row>
    <row r="65" spans="1:12" ht="48" customHeight="1" x14ac:dyDescent="0.25">
      <c r="A65" s="30">
        <f t="shared" si="1"/>
        <v>48</v>
      </c>
      <c r="B65" s="31" t="str">
        <f>'402440'!E3</f>
        <v>28-Okt-21</v>
      </c>
      <c r="C65" s="127">
        <f>'402440'!A3</f>
        <v>402440</v>
      </c>
      <c r="D65" s="32" t="s">
        <v>981</v>
      </c>
      <c r="E65" s="32" t="s">
        <v>83</v>
      </c>
      <c r="F65" s="33">
        <v>24</v>
      </c>
      <c r="G65" s="106">
        <f>'402440'!N27</f>
        <v>376.71999999999997</v>
      </c>
      <c r="H65" s="133">
        <v>7000</v>
      </c>
      <c r="I65" s="134"/>
      <c r="J65" s="34">
        <f t="shared" si="0"/>
        <v>2637040</v>
      </c>
      <c r="L65"/>
    </row>
    <row r="66" spans="1:12" ht="48" customHeight="1" x14ac:dyDescent="0.25">
      <c r="A66" s="30">
        <f t="shared" si="1"/>
        <v>49</v>
      </c>
      <c r="B66" s="31" t="str">
        <f>'403932'!E3</f>
        <v>29-Okt-21</v>
      </c>
      <c r="C66" s="83">
        <f>'403932'!A3</f>
        <v>403932</v>
      </c>
      <c r="D66" s="32" t="s">
        <v>981</v>
      </c>
      <c r="E66" s="32" t="s">
        <v>83</v>
      </c>
      <c r="F66" s="33">
        <v>4</v>
      </c>
      <c r="G66" s="106">
        <f>'403932'!N7</f>
        <v>79.081000000000003</v>
      </c>
      <c r="H66" s="133">
        <v>7000</v>
      </c>
      <c r="I66" s="134"/>
      <c r="J66" s="34">
        <f t="shared" si="0"/>
        <v>553567</v>
      </c>
      <c r="L66"/>
    </row>
    <row r="67" spans="1:12" ht="48" customHeight="1" x14ac:dyDescent="0.25">
      <c r="A67" s="30">
        <f t="shared" si="1"/>
        <v>50</v>
      </c>
      <c r="B67" s="31" t="str">
        <f>'402304'!E3</f>
        <v>29-Okt-21</v>
      </c>
      <c r="C67" s="83">
        <f>'402304'!A3</f>
        <v>402304</v>
      </c>
      <c r="D67" s="32" t="s">
        <v>981</v>
      </c>
      <c r="E67" s="32" t="s">
        <v>83</v>
      </c>
      <c r="F67" s="33">
        <v>31</v>
      </c>
      <c r="G67" s="106">
        <f>'402304'!N34</f>
        <v>498.07825000000003</v>
      </c>
      <c r="H67" s="133">
        <v>7000</v>
      </c>
      <c r="I67" s="134"/>
      <c r="J67" s="34">
        <f t="shared" si="0"/>
        <v>3486547.75</v>
      </c>
      <c r="L67"/>
    </row>
    <row r="68" spans="1:12" ht="48" customHeight="1" x14ac:dyDescent="0.25">
      <c r="A68" s="30">
        <f t="shared" si="1"/>
        <v>51</v>
      </c>
      <c r="B68" s="31">
        <f>Table22457891011234567891011121314151617181920212223242526272829303132333435363738394041424344454647484950515253[Pick Up]</f>
        <v>44499</v>
      </c>
      <c r="C68" s="83">
        <f>'404004'!A3</f>
        <v>404004</v>
      </c>
      <c r="D68" s="32" t="s">
        <v>981</v>
      </c>
      <c r="E68" s="32" t="s">
        <v>83</v>
      </c>
      <c r="F68" s="33">
        <v>1</v>
      </c>
      <c r="G68" s="106">
        <f>'404004'!N4</f>
        <v>11</v>
      </c>
      <c r="H68" s="133">
        <v>7000</v>
      </c>
      <c r="I68" s="134"/>
      <c r="J68" s="34">
        <f t="shared" si="0"/>
        <v>77000</v>
      </c>
      <c r="L68"/>
    </row>
    <row r="69" spans="1:12" ht="48" customHeight="1" x14ac:dyDescent="0.25">
      <c r="A69" s="30">
        <f t="shared" si="1"/>
        <v>52</v>
      </c>
      <c r="B69" s="31">
        <f>'402310'!E3</f>
        <v>44499</v>
      </c>
      <c r="C69" s="83">
        <f>'402310'!A3</f>
        <v>402310</v>
      </c>
      <c r="D69" s="32" t="s">
        <v>981</v>
      </c>
      <c r="E69" s="32" t="s">
        <v>83</v>
      </c>
      <c r="F69" s="33">
        <v>25</v>
      </c>
      <c r="G69" s="106">
        <f>'402310'!N28</f>
        <v>433.24925000000002</v>
      </c>
      <c r="H69" s="133">
        <v>7000</v>
      </c>
      <c r="I69" s="134"/>
      <c r="J69" s="34">
        <f t="shared" si="0"/>
        <v>3032744.75</v>
      </c>
      <c r="L69"/>
    </row>
    <row r="70" spans="1:12" ht="48" customHeight="1" x14ac:dyDescent="0.25">
      <c r="A70" s="30">
        <f t="shared" si="1"/>
        <v>53</v>
      </c>
      <c r="B70" s="31">
        <f>Table224578910112345678910111213141516171819202122232425262728293031323334353637383940414243444546474849505152535455[Pick Up]</f>
        <v>44500</v>
      </c>
      <c r="C70" s="83">
        <f>'404006'!A3</f>
        <v>404006</v>
      </c>
      <c r="D70" s="32" t="s">
        <v>981</v>
      </c>
      <c r="E70" s="32" t="s">
        <v>83</v>
      </c>
      <c r="F70" s="33">
        <v>1</v>
      </c>
      <c r="G70" s="106">
        <f>'404006'!N4</f>
        <v>13</v>
      </c>
      <c r="H70" s="133">
        <v>7000</v>
      </c>
      <c r="I70" s="134"/>
      <c r="J70" s="34">
        <f t="shared" si="0"/>
        <v>91000</v>
      </c>
      <c r="L70"/>
    </row>
    <row r="71" spans="1:12" ht="48" customHeight="1" x14ac:dyDescent="0.25">
      <c r="A71" s="30">
        <f t="shared" si="1"/>
        <v>54</v>
      </c>
      <c r="B71" s="31">
        <f>'402314'!E3</f>
        <v>44500</v>
      </c>
      <c r="C71" s="83">
        <f>'402314'!A3</f>
        <v>402314</v>
      </c>
      <c r="D71" s="32" t="s">
        <v>981</v>
      </c>
      <c r="E71" s="32" t="s">
        <v>83</v>
      </c>
      <c r="F71" s="33">
        <v>29</v>
      </c>
      <c r="G71" s="106">
        <f>'402314'!N32</f>
        <v>426.71775000000002</v>
      </c>
      <c r="H71" s="133">
        <v>7000</v>
      </c>
      <c r="I71" s="134"/>
      <c r="J71" s="34">
        <f t="shared" si="0"/>
        <v>2987024.25</v>
      </c>
      <c r="L71"/>
    </row>
    <row r="72" spans="1:12" ht="32.25" customHeight="1" thickBot="1" x14ac:dyDescent="0.3">
      <c r="A72" s="135" t="s">
        <v>30</v>
      </c>
      <c r="B72" s="136"/>
      <c r="C72" s="136"/>
      <c r="D72" s="136"/>
      <c r="E72" s="136"/>
      <c r="F72" s="136"/>
      <c r="G72" s="136"/>
      <c r="H72" s="136"/>
      <c r="I72" s="137"/>
      <c r="J72" s="35">
        <f>SUM(J18:J71)</f>
        <v>101615321.5</v>
      </c>
      <c r="L72" s="81"/>
    </row>
    <row r="73" spans="1:12" x14ac:dyDescent="0.25">
      <c r="A73" s="138"/>
      <c r="B73" s="138"/>
      <c r="C73" s="36"/>
      <c r="D73" s="36"/>
      <c r="E73" s="36"/>
      <c r="F73" s="36"/>
      <c r="G73" s="36"/>
      <c r="H73" s="37"/>
      <c r="I73" s="37"/>
      <c r="J73" s="38"/>
    </row>
    <row r="74" spans="1:12" x14ac:dyDescent="0.25">
      <c r="A74" s="84"/>
      <c r="B74" s="84"/>
      <c r="C74" s="84"/>
      <c r="D74" s="84"/>
      <c r="E74" s="84"/>
      <c r="F74" s="84"/>
      <c r="G74" s="39" t="s">
        <v>52</v>
      </c>
      <c r="H74" s="39"/>
      <c r="I74" s="37"/>
      <c r="J74" s="38">
        <v>0</v>
      </c>
      <c r="L74" s="40"/>
    </row>
    <row r="75" spans="1:12" x14ac:dyDescent="0.25">
      <c r="A75" s="84"/>
      <c r="B75" s="84"/>
      <c r="C75" s="84"/>
      <c r="D75" s="84"/>
      <c r="E75" s="84"/>
      <c r="F75" s="84"/>
      <c r="G75" s="91" t="s">
        <v>53</v>
      </c>
      <c r="H75" s="91"/>
      <c r="I75" s="92"/>
      <c r="J75" s="94">
        <f>J72-J74</f>
        <v>101615321.5</v>
      </c>
      <c r="L75" s="40"/>
    </row>
    <row r="76" spans="1:12" x14ac:dyDescent="0.25">
      <c r="A76" s="84"/>
      <c r="B76" s="84"/>
      <c r="C76" s="84"/>
      <c r="D76" s="84"/>
      <c r="E76" s="84"/>
      <c r="F76" s="84"/>
      <c r="G76" s="39" t="s">
        <v>31</v>
      </c>
      <c r="H76" s="39"/>
      <c r="I76" s="40" t="e">
        <f>#REF!*1%</f>
        <v>#REF!</v>
      </c>
      <c r="J76" s="38">
        <f>J75*1%</f>
        <v>1016153.215</v>
      </c>
    </row>
    <row r="77" spans="1:12" ht="16.5" thickBot="1" x14ac:dyDescent="0.3">
      <c r="A77" s="84"/>
      <c r="B77" s="84"/>
      <c r="C77" s="84"/>
      <c r="D77" s="84"/>
      <c r="E77" s="84"/>
      <c r="F77" s="84"/>
      <c r="G77" s="93" t="s">
        <v>55</v>
      </c>
      <c r="H77" s="93"/>
      <c r="I77" s="41">
        <f>I73*10%</f>
        <v>0</v>
      </c>
      <c r="J77" s="41">
        <f>J75*2%</f>
        <v>2032306.43</v>
      </c>
    </row>
    <row r="78" spans="1:12" x14ac:dyDescent="0.25">
      <c r="E78" s="17"/>
      <c r="F78" s="17"/>
      <c r="G78" s="42" t="s">
        <v>56</v>
      </c>
      <c r="H78" s="42"/>
      <c r="I78" s="43" t="e">
        <f>I72+I76</f>
        <v>#REF!</v>
      </c>
      <c r="J78" s="43">
        <f>J75+J76-J77</f>
        <v>100599168.285</v>
      </c>
    </row>
    <row r="79" spans="1:12" x14ac:dyDescent="0.25">
      <c r="E79" s="17"/>
      <c r="F79" s="17"/>
      <c r="G79" s="42"/>
      <c r="H79" s="42"/>
      <c r="I79" s="43"/>
      <c r="J79" s="43"/>
    </row>
    <row r="80" spans="1:12" x14ac:dyDescent="0.25">
      <c r="A80" s="17" t="s">
        <v>983</v>
      </c>
      <c r="D80" s="17"/>
      <c r="E80" s="17"/>
      <c r="F80" s="17"/>
      <c r="G80" s="17"/>
      <c r="H80" s="42"/>
      <c r="I80" s="42"/>
      <c r="J80" s="43"/>
    </row>
    <row r="81" spans="1:10" x14ac:dyDescent="0.25">
      <c r="A81" s="44"/>
      <c r="D81" s="17"/>
      <c r="E81" s="17"/>
      <c r="F81" s="17"/>
      <c r="G81" s="17"/>
      <c r="H81" s="42"/>
      <c r="I81" s="42"/>
      <c r="J81" s="43"/>
    </row>
    <row r="82" spans="1:10" x14ac:dyDescent="0.25">
      <c r="D82" s="17"/>
      <c r="E82" s="17"/>
      <c r="F82" s="17"/>
      <c r="G82" s="17"/>
      <c r="H82" s="42"/>
      <c r="I82" s="42"/>
      <c r="J82" s="43"/>
    </row>
    <row r="83" spans="1:10" x14ac:dyDescent="0.25">
      <c r="A83" s="45" t="s">
        <v>33</v>
      </c>
    </row>
    <row r="84" spans="1:10" x14ac:dyDescent="0.25">
      <c r="A84" s="46" t="s">
        <v>34</v>
      </c>
      <c r="B84" s="47"/>
      <c r="C84" s="47"/>
      <c r="D84" s="48"/>
      <c r="E84" s="48"/>
      <c r="F84" s="48"/>
      <c r="G84" s="48"/>
    </row>
    <row r="85" spans="1:10" x14ac:dyDescent="0.25">
      <c r="A85" s="46" t="s">
        <v>35</v>
      </c>
      <c r="B85" s="47"/>
      <c r="C85" s="47"/>
      <c r="D85" s="48"/>
      <c r="E85" s="48"/>
      <c r="F85" s="48"/>
      <c r="G85" s="48"/>
    </row>
    <row r="86" spans="1:10" x14ac:dyDescent="0.25">
      <c r="A86" s="49" t="s">
        <v>36</v>
      </c>
      <c r="B86" s="50"/>
      <c r="C86" s="50"/>
      <c r="D86" s="48"/>
      <c r="E86" s="48"/>
      <c r="F86" s="48"/>
      <c r="G86" s="48"/>
    </row>
    <row r="87" spans="1:10" x14ac:dyDescent="0.25">
      <c r="A87" s="51" t="s">
        <v>8</v>
      </c>
      <c r="B87" s="52"/>
      <c r="C87" s="52"/>
      <c r="D87" s="48"/>
      <c r="E87" s="48"/>
      <c r="F87" s="48"/>
      <c r="G87" s="48"/>
    </row>
    <row r="88" spans="1:10" x14ac:dyDescent="0.25">
      <c r="A88" s="53"/>
      <c r="B88" s="53"/>
      <c r="C88" s="53"/>
    </row>
    <row r="89" spans="1:10" x14ac:dyDescent="0.25">
      <c r="H89" s="54" t="s">
        <v>37</v>
      </c>
      <c r="I89" s="141" t="str">
        <f>+J13</f>
        <v xml:space="preserve"> 15 November 21</v>
      </c>
      <c r="J89" s="142"/>
    </row>
    <row r="93" spans="1:10" ht="18" customHeight="1" x14ac:dyDescent="0.25"/>
    <row r="94" spans="1:10" ht="17.25" customHeight="1" x14ac:dyDescent="0.25"/>
    <row r="96" spans="1:10" x14ac:dyDescent="0.25">
      <c r="H96" s="139" t="s">
        <v>38</v>
      </c>
      <c r="I96" s="139"/>
      <c r="J96" s="139"/>
    </row>
  </sheetData>
  <mergeCells count="63">
    <mergeCell ref="H62:I62"/>
    <mergeCell ref="H63:I63"/>
    <mergeCell ref="H64:I64"/>
    <mergeCell ref="H65:I65"/>
    <mergeCell ref="H71:I71"/>
    <mergeCell ref="H66:I66"/>
    <mergeCell ref="H67:I67"/>
    <mergeCell ref="H68:I68"/>
    <mergeCell ref="H69:I69"/>
    <mergeCell ref="H70:I70"/>
    <mergeCell ref="H57:I57"/>
    <mergeCell ref="H58:I58"/>
    <mergeCell ref="H59:I59"/>
    <mergeCell ref="H60:I60"/>
    <mergeCell ref="H61:I61"/>
    <mergeCell ref="H41:I41"/>
    <mergeCell ref="H42:I42"/>
    <mergeCell ref="I89:J89"/>
    <mergeCell ref="H43:I43"/>
    <mergeCell ref="H44:I44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96:J96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9:I39"/>
    <mergeCell ref="A10:J10"/>
    <mergeCell ref="H17:I17"/>
    <mergeCell ref="H18:I18"/>
    <mergeCell ref="A72:I72"/>
    <mergeCell ref="A73:B73"/>
    <mergeCell ref="H19:I19"/>
    <mergeCell ref="H20:I20"/>
    <mergeCell ref="H24:I24"/>
    <mergeCell ref="H22:I22"/>
    <mergeCell ref="H21:I21"/>
    <mergeCell ref="H25:I25"/>
    <mergeCell ref="H28:I28"/>
    <mergeCell ref="H45:I45"/>
    <mergeCell ref="H23:I23"/>
    <mergeCell ref="H38:I38"/>
    <mergeCell ref="H40:I4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402173</v>
      </c>
      <c r="B3" s="109" t="s">
        <v>226</v>
      </c>
      <c r="C3" s="9" t="s">
        <v>227</v>
      </c>
      <c r="D3" s="75" t="s">
        <v>83</v>
      </c>
      <c r="E3" s="13">
        <v>44475</v>
      </c>
      <c r="F3" s="75" t="s">
        <v>84</v>
      </c>
      <c r="G3" s="13">
        <v>44476.791666666664</v>
      </c>
      <c r="H3" s="10" t="s">
        <v>186</v>
      </c>
      <c r="I3" s="1">
        <v>35</v>
      </c>
      <c r="J3" s="1">
        <v>23</v>
      </c>
      <c r="K3" s="1">
        <v>18</v>
      </c>
      <c r="L3" s="1">
        <v>6</v>
      </c>
      <c r="M3" s="79">
        <v>3.6225000000000001</v>
      </c>
      <c r="N3" s="103">
        <v>6</v>
      </c>
      <c r="O3" s="64">
        <v>7000</v>
      </c>
      <c r="P3" s="65">
        <f>Table224578910112345678910[[#This Row],[PEMBULATAN]]*O3</f>
        <v>42000</v>
      </c>
    </row>
    <row r="4" spans="1:16" ht="26.25" customHeight="1" x14ac:dyDescent="0.2">
      <c r="A4" s="14"/>
      <c r="B4" s="74" t="s">
        <v>228</v>
      </c>
      <c r="C4" s="9" t="s">
        <v>229</v>
      </c>
      <c r="D4" s="75" t="s">
        <v>83</v>
      </c>
      <c r="E4" s="13">
        <v>44475</v>
      </c>
      <c r="F4" s="75" t="s">
        <v>84</v>
      </c>
      <c r="G4" s="13">
        <v>44476.791666666664</v>
      </c>
      <c r="H4" s="10" t="s">
        <v>186</v>
      </c>
      <c r="I4" s="1">
        <v>47</v>
      </c>
      <c r="J4" s="1">
        <v>53</v>
      </c>
      <c r="K4" s="1">
        <v>21</v>
      </c>
      <c r="L4" s="1">
        <v>12</v>
      </c>
      <c r="M4" s="79">
        <v>13.07775</v>
      </c>
      <c r="N4" s="103">
        <v>13.07775</v>
      </c>
      <c r="O4" s="64">
        <v>7000</v>
      </c>
      <c r="P4" s="65">
        <f>Table224578910112345678910[[#This Row],[PEMBULATAN]]*O4</f>
        <v>91544.25</v>
      </c>
    </row>
    <row r="5" spans="1:16" ht="22.5" customHeight="1" x14ac:dyDescent="0.2">
      <c r="A5" s="143" t="s">
        <v>30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5"/>
      <c r="M5" s="78">
        <f>SUBTOTAL(109,Table224578910112345678910[KG VOLUME])</f>
        <v>16.70025</v>
      </c>
      <c r="N5" s="68">
        <f>SUM(N3:N4)</f>
        <v>19.077750000000002</v>
      </c>
      <c r="O5" s="146">
        <f>SUM(P3:P4)</f>
        <v>133544.25</v>
      </c>
      <c r="P5" s="147"/>
    </row>
    <row r="6" spans="1:16" ht="18" customHeight="1" x14ac:dyDescent="0.2">
      <c r="A6" s="85"/>
      <c r="B6" s="56" t="s">
        <v>42</v>
      </c>
      <c r="C6" s="55"/>
      <c r="D6" s="57" t="s">
        <v>43</v>
      </c>
      <c r="E6" s="85"/>
      <c r="F6" s="85"/>
      <c r="G6" s="85"/>
      <c r="H6" s="85"/>
      <c r="I6" s="85"/>
      <c r="J6" s="85"/>
      <c r="K6" s="85"/>
      <c r="L6" s="85"/>
      <c r="M6" s="86"/>
      <c r="N6" s="87" t="s">
        <v>52</v>
      </c>
      <c r="O6" s="88"/>
      <c r="P6" s="88">
        <v>0</v>
      </c>
    </row>
    <row r="7" spans="1:16" ht="18" customHeight="1" thickBot="1" x14ac:dyDescent="0.25">
      <c r="A7" s="85"/>
      <c r="B7" s="56"/>
      <c r="C7" s="55"/>
      <c r="D7" s="57"/>
      <c r="E7" s="85"/>
      <c r="F7" s="85"/>
      <c r="G7" s="85"/>
      <c r="H7" s="85"/>
      <c r="I7" s="85"/>
      <c r="J7" s="85"/>
      <c r="K7" s="85"/>
      <c r="L7" s="85"/>
      <c r="M7" s="86"/>
      <c r="N7" s="89" t="s">
        <v>53</v>
      </c>
      <c r="O7" s="90"/>
      <c r="P7" s="90">
        <f>O5-P6</f>
        <v>133544.25</v>
      </c>
    </row>
    <row r="8" spans="1:16" ht="18" customHeight="1" x14ac:dyDescent="0.2">
      <c r="A8" s="11"/>
      <c r="H8" s="63"/>
      <c r="N8" s="62" t="s">
        <v>31</v>
      </c>
      <c r="P8" s="69">
        <f>P7*1%</f>
        <v>1335.4425000000001</v>
      </c>
    </row>
    <row r="9" spans="1:16" ht="18" customHeight="1" thickBot="1" x14ac:dyDescent="0.25">
      <c r="A9" s="11"/>
      <c r="H9" s="63"/>
      <c r="N9" s="62" t="s">
        <v>54</v>
      </c>
      <c r="P9" s="71">
        <f>P7*2%</f>
        <v>2670.8850000000002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132208.8075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787" priority="2"/>
  </conditionalFormatting>
  <conditionalFormatting sqref="B4">
    <cfRule type="duplicateValues" dxfId="786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4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20" sqref="H20"/>
    </sheetView>
  </sheetViews>
  <sheetFormatPr defaultRowHeight="15" x14ac:dyDescent="0.2"/>
  <cols>
    <col min="1" max="1" width="8" style="4" customWidth="1"/>
    <col min="2" max="2" width="21.710937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7" x14ac:dyDescent="0.2">
      <c r="H1" s="5"/>
    </row>
    <row r="2" spans="1:17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7" ht="26.25" customHeight="1" x14ac:dyDescent="0.2">
      <c r="A3" s="82">
        <v>402175</v>
      </c>
      <c r="B3" s="111" t="s">
        <v>230</v>
      </c>
      <c r="C3" s="9" t="s">
        <v>231</v>
      </c>
      <c r="D3" s="75" t="s">
        <v>83</v>
      </c>
      <c r="E3" s="13">
        <v>44476</v>
      </c>
      <c r="F3" s="75" t="s">
        <v>232</v>
      </c>
      <c r="G3" s="13">
        <v>44477.833333333336</v>
      </c>
      <c r="H3" s="10" t="s">
        <v>120</v>
      </c>
      <c r="I3" s="1">
        <v>82</v>
      </c>
      <c r="J3" s="1">
        <v>57</v>
      </c>
      <c r="K3" s="1">
        <v>34</v>
      </c>
      <c r="L3" s="1">
        <v>30</v>
      </c>
      <c r="M3" s="79">
        <v>39.728999999999999</v>
      </c>
      <c r="N3" s="103">
        <v>39.728999999999999</v>
      </c>
      <c r="O3" s="64">
        <v>7000</v>
      </c>
      <c r="P3" s="65">
        <f>Table22457891011234567891011[[#This Row],[PEMBULATAN]]*O3</f>
        <v>278103</v>
      </c>
      <c r="Q3" s="4" t="s">
        <v>252</v>
      </c>
    </row>
    <row r="4" spans="1:17" ht="26.25" customHeight="1" x14ac:dyDescent="0.2">
      <c r="A4" s="14"/>
      <c r="B4" s="74"/>
      <c r="C4" s="9" t="s">
        <v>233</v>
      </c>
      <c r="D4" s="75" t="s">
        <v>83</v>
      </c>
      <c r="E4" s="13">
        <v>44476</v>
      </c>
      <c r="F4" s="75" t="s">
        <v>232</v>
      </c>
      <c r="G4" s="13">
        <v>44477.833333333336</v>
      </c>
      <c r="H4" s="10" t="s">
        <v>120</v>
      </c>
      <c r="I4" s="1">
        <v>35</v>
      </c>
      <c r="J4" s="1">
        <v>33</v>
      </c>
      <c r="K4" s="1">
        <v>32</v>
      </c>
      <c r="L4" s="1">
        <v>6</v>
      </c>
      <c r="M4" s="79">
        <v>9.24</v>
      </c>
      <c r="N4" s="103">
        <v>9.24</v>
      </c>
      <c r="O4" s="64">
        <v>7000</v>
      </c>
      <c r="P4" s="65">
        <f>Table22457891011234567891011[[#This Row],[PEMBULATAN]]*O4</f>
        <v>64680</v>
      </c>
    </row>
    <row r="5" spans="1:17" ht="26.25" customHeight="1" x14ac:dyDescent="0.2">
      <c r="A5" s="14"/>
      <c r="B5" s="14"/>
      <c r="C5" s="9" t="s">
        <v>234</v>
      </c>
      <c r="D5" s="75" t="s">
        <v>83</v>
      </c>
      <c r="E5" s="13">
        <v>44476</v>
      </c>
      <c r="F5" s="75" t="s">
        <v>232</v>
      </c>
      <c r="G5" s="13">
        <v>44477.833333333336</v>
      </c>
      <c r="H5" s="10" t="s">
        <v>120</v>
      </c>
      <c r="I5" s="1">
        <v>34</v>
      </c>
      <c r="J5" s="1">
        <v>29</v>
      </c>
      <c r="K5" s="1">
        <v>21</v>
      </c>
      <c r="L5" s="1">
        <v>4</v>
      </c>
      <c r="M5" s="79">
        <v>5.1764999999999999</v>
      </c>
      <c r="N5" s="103">
        <v>5.1764999999999999</v>
      </c>
      <c r="O5" s="64">
        <v>7000</v>
      </c>
      <c r="P5" s="65">
        <f>Table22457891011234567891011[[#This Row],[PEMBULATAN]]*O5</f>
        <v>36235.5</v>
      </c>
    </row>
    <row r="6" spans="1:17" ht="26.25" customHeight="1" x14ac:dyDescent="0.2">
      <c r="A6" s="14"/>
      <c r="B6" s="14"/>
      <c r="C6" s="95" t="s">
        <v>235</v>
      </c>
      <c r="D6" s="96" t="s">
        <v>83</v>
      </c>
      <c r="E6" s="97">
        <v>44476</v>
      </c>
      <c r="F6" s="98" t="s">
        <v>232</v>
      </c>
      <c r="G6" s="97">
        <v>44477.833333333336</v>
      </c>
      <c r="H6" s="99" t="s">
        <v>120</v>
      </c>
      <c r="I6" s="100">
        <v>42</v>
      </c>
      <c r="J6" s="100">
        <v>30</v>
      </c>
      <c r="K6" s="100">
        <v>23</v>
      </c>
      <c r="L6" s="100">
        <v>10</v>
      </c>
      <c r="M6" s="101">
        <v>7.2450000000000001</v>
      </c>
      <c r="N6" s="107">
        <v>10</v>
      </c>
      <c r="O6" s="64">
        <v>7000</v>
      </c>
      <c r="P6" s="65">
        <f>Table22457891011234567891011[[#This Row],[PEMBULATAN]]*O6</f>
        <v>70000</v>
      </c>
    </row>
    <row r="7" spans="1:17" ht="26.25" customHeight="1" x14ac:dyDescent="0.2">
      <c r="A7" s="14"/>
      <c r="B7" s="14"/>
      <c r="C7" s="95" t="s">
        <v>236</v>
      </c>
      <c r="D7" s="96" t="s">
        <v>83</v>
      </c>
      <c r="E7" s="97">
        <v>44476</v>
      </c>
      <c r="F7" s="98" t="s">
        <v>232</v>
      </c>
      <c r="G7" s="97">
        <v>44477.833333333336</v>
      </c>
      <c r="H7" s="99" t="s">
        <v>120</v>
      </c>
      <c r="I7" s="100">
        <v>46</v>
      </c>
      <c r="J7" s="100">
        <v>36</v>
      </c>
      <c r="K7" s="100">
        <v>30</v>
      </c>
      <c r="L7" s="100">
        <v>11</v>
      </c>
      <c r="M7" s="101">
        <v>12.42</v>
      </c>
      <c r="N7" s="107">
        <v>13</v>
      </c>
      <c r="O7" s="64">
        <v>7000</v>
      </c>
      <c r="P7" s="65">
        <f>Table22457891011234567891011[[#This Row],[PEMBULATAN]]*O7</f>
        <v>91000</v>
      </c>
    </row>
    <row r="8" spans="1:17" ht="26.25" customHeight="1" x14ac:dyDescent="0.2">
      <c r="A8" s="14"/>
      <c r="B8" s="14"/>
      <c r="C8" s="95" t="s">
        <v>237</v>
      </c>
      <c r="D8" s="96" t="s">
        <v>83</v>
      </c>
      <c r="E8" s="97">
        <v>44476</v>
      </c>
      <c r="F8" s="98" t="s">
        <v>232</v>
      </c>
      <c r="G8" s="97">
        <v>44477.833333333336</v>
      </c>
      <c r="H8" s="99" t="s">
        <v>120</v>
      </c>
      <c r="I8" s="100">
        <v>110</v>
      </c>
      <c r="J8" s="100">
        <v>56</v>
      </c>
      <c r="K8" s="100">
        <v>25</v>
      </c>
      <c r="L8" s="100">
        <v>8</v>
      </c>
      <c r="M8" s="101">
        <v>38.5</v>
      </c>
      <c r="N8" s="107">
        <v>38.5</v>
      </c>
      <c r="O8" s="64">
        <v>7000</v>
      </c>
      <c r="P8" s="65">
        <f>Table22457891011234567891011[[#This Row],[PEMBULATAN]]*O8</f>
        <v>269500</v>
      </c>
    </row>
    <row r="9" spans="1:17" ht="26.25" customHeight="1" x14ac:dyDescent="0.2">
      <c r="A9" s="14"/>
      <c r="B9" s="14"/>
      <c r="C9" s="95" t="s">
        <v>238</v>
      </c>
      <c r="D9" s="96" t="s">
        <v>83</v>
      </c>
      <c r="E9" s="97">
        <v>44476</v>
      </c>
      <c r="F9" s="98" t="s">
        <v>232</v>
      </c>
      <c r="G9" s="97">
        <v>44477.833333333336</v>
      </c>
      <c r="H9" s="99" t="s">
        <v>120</v>
      </c>
      <c r="I9" s="100">
        <v>150</v>
      </c>
      <c r="J9" s="100">
        <v>32</v>
      </c>
      <c r="K9" s="100">
        <v>10</v>
      </c>
      <c r="L9" s="100">
        <v>7</v>
      </c>
      <c r="M9" s="101">
        <v>12</v>
      </c>
      <c r="N9" s="107">
        <v>12</v>
      </c>
      <c r="O9" s="64">
        <v>7000</v>
      </c>
      <c r="P9" s="65">
        <f>Table22457891011234567891011[[#This Row],[PEMBULATAN]]*O9</f>
        <v>84000</v>
      </c>
    </row>
    <row r="10" spans="1:17" ht="26.25" customHeight="1" x14ac:dyDescent="0.2">
      <c r="A10" s="14"/>
      <c r="B10" s="14"/>
      <c r="C10" s="95" t="s">
        <v>239</v>
      </c>
      <c r="D10" s="96" t="s">
        <v>83</v>
      </c>
      <c r="E10" s="97">
        <v>44476</v>
      </c>
      <c r="F10" s="98" t="s">
        <v>232</v>
      </c>
      <c r="G10" s="97">
        <v>44477.833333333336</v>
      </c>
      <c r="H10" s="99" t="s">
        <v>120</v>
      </c>
      <c r="I10" s="100">
        <v>40</v>
      </c>
      <c r="J10" s="100">
        <v>40</v>
      </c>
      <c r="K10" s="100">
        <v>24</v>
      </c>
      <c r="L10" s="100">
        <v>20</v>
      </c>
      <c r="M10" s="101">
        <v>9.6</v>
      </c>
      <c r="N10" s="107">
        <v>20</v>
      </c>
      <c r="O10" s="64">
        <v>7000</v>
      </c>
      <c r="P10" s="65">
        <f>Table22457891011234567891011[[#This Row],[PEMBULATAN]]*O10</f>
        <v>140000</v>
      </c>
    </row>
    <row r="11" spans="1:17" ht="26.25" customHeight="1" x14ac:dyDescent="0.2">
      <c r="A11" s="14"/>
      <c r="B11" s="14"/>
      <c r="C11" s="95" t="s">
        <v>240</v>
      </c>
      <c r="D11" s="96" t="s">
        <v>83</v>
      </c>
      <c r="E11" s="97">
        <v>44476</v>
      </c>
      <c r="F11" s="98" t="s">
        <v>232</v>
      </c>
      <c r="G11" s="97">
        <v>44477.833333333336</v>
      </c>
      <c r="H11" s="99" t="s">
        <v>120</v>
      </c>
      <c r="I11" s="100">
        <v>60</v>
      </c>
      <c r="J11" s="100">
        <v>33</v>
      </c>
      <c r="K11" s="100">
        <v>20</v>
      </c>
      <c r="L11" s="100">
        <v>12</v>
      </c>
      <c r="M11" s="101">
        <v>9.9</v>
      </c>
      <c r="N11" s="107">
        <v>12</v>
      </c>
      <c r="O11" s="64">
        <v>7000</v>
      </c>
      <c r="P11" s="65">
        <f>Table22457891011234567891011[[#This Row],[PEMBULATAN]]*O11</f>
        <v>84000</v>
      </c>
    </row>
    <row r="12" spans="1:17" ht="26.25" customHeight="1" x14ac:dyDescent="0.2">
      <c r="A12" s="14"/>
      <c r="B12" s="14"/>
      <c r="C12" s="95" t="s">
        <v>241</v>
      </c>
      <c r="D12" s="96" t="s">
        <v>83</v>
      </c>
      <c r="E12" s="97">
        <v>44476</v>
      </c>
      <c r="F12" s="98" t="s">
        <v>232</v>
      </c>
      <c r="G12" s="97">
        <v>44477.833333333336</v>
      </c>
      <c r="H12" s="99" t="s">
        <v>120</v>
      </c>
      <c r="I12" s="100">
        <v>70</v>
      </c>
      <c r="J12" s="100">
        <v>42</v>
      </c>
      <c r="K12" s="100">
        <v>49</v>
      </c>
      <c r="L12" s="100">
        <v>20</v>
      </c>
      <c r="M12" s="101">
        <v>36.015000000000001</v>
      </c>
      <c r="N12" s="107">
        <v>36.015000000000001</v>
      </c>
      <c r="O12" s="64">
        <v>7000</v>
      </c>
      <c r="P12" s="65">
        <f>Table22457891011234567891011[[#This Row],[PEMBULATAN]]*O12</f>
        <v>252105</v>
      </c>
    </row>
    <row r="13" spans="1:17" ht="26.25" customHeight="1" x14ac:dyDescent="0.2">
      <c r="A13" s="14"/>
      <c r="B13" s="14"/>
      <c r="C13" s="95" t="s">
        <v>242</v>
      </c>
      <c r="D13" s="96" t="s">
        <v>83</v>
      </c>
      <c r="E13" s="97">
        <v>44476</v>
      </c>
      <c r="F13" s="98" t="s">
        <v>232</v>
      </c>
      <c r="G13" s="97">
        <v>44477.833333333336</v>
      </c>
      <c r="H13" s="99" t="s">
        <v>120</v>
      </c>
      <c r="I13" s="100">
        <v>57</v>
      </c>
      <c r="J13" s="100">
        <v>52</v>
      </c>
      <c r="K13" s="100">
        <v>45</v>
      </c>
      <c r="L13" s="100">
        <v>9</v>
      </c>
      <c r="M13" s="101">
        <v>33.344999999999999</v>
      </c>
      <c r="N13" s="107">
        <v>34</v>
      </c>
      <c r="O13" s="64">
        <v>7000</v>
      </c>
      <c r="P13" s="65">
        <f>Table22457891011234567891011[[#This Row],[PEMBULATAN]]*O13</f>
        <v>238000</v>
      </c>
    </row>
    <row r="14" spans="1:17" ht="26.25" customHeight="1" x14ac:dyDescent="0.2">
      <c r="A14" s="14"/>
      <c r="B14" s="14"/>
      <c r="C14" s="95" t="s">
        <v>243</v>
      </c>
      <c r="D14" s="96" t="s">
        <v>83</v>
      </c>
      <c r="E14" s="97">
        <v>44476</v>
      </c>
      <c r="F14" s="98" t="s">
        <v>232</v>
      </c>
      <c r="G14" s="97">
        <v>44477.833333333336</v>
      </c>
      <c r="H14" s="99" t="s">
        <v>120</v>
      </c>
      <c r="I14" s="100">
        <v>87</v>
      </c>
      <c r="J14" s="100">
        <v>22</v>
      </c>
      <c r="K14" s="100">
        <v>11</v>
      </c>
      <c r="L14" s="100">
        <v>4</v>
      </c>
      <c r="M14" s="101">
        <v>5.2634999999999996</v>
      </c>
      <c r="N14" s="107">
        <v>5.2634999999999996</v>
      </c>
      <c r="O14" s="64">
        <v>7000</v>
      </c>
      <c r="P14" s="65">
        <f>Table22457891011234567891011[[#This Row],[PEMBULATAN]]*O14</f>
        <v>36844.5</v>
      </c>
    </row>
    <row r="15" spans="1:17" ht="26.25" customHeight="1" x14ac:dyDescent="0.2">
      <c r="A15" s="14"/>
      <c r="B15" s="110"/>
      <c r="C15" s="95" t="s">
        <v>244</v>
      </c>
      <c r="D15" s="96" t="s">
        <v>83</v>
      </c>
      <c r="E15" s="97">
        <v>44476</v>
      </c>
      <c r="F15" s="98" t="s">
        <v>232</v>
      </c>
      <c r="G15" s="97">
        <v>44477.833333333336</v>
      </c>
      <c r="H15" s="99" t="s">
        <v>120</v>
      </c>
      <c r="I15" s="100">
        <v>50</v>
      </c>
      <c r="J15" s="100">
        <v>50</v>
      </c>
      <c r="K15" s="100">
        <v>20</v>
      </c>
      <c r="L15" s="100">
        <v>30</v>
      </c>
      <c r="M15" s="101">
        <v>12.5</v>
      </c>
      <c r="N15" s="107">
        <v>30</v>
      </c>
      <c r="O15" s="64">
        <v>7000</v>
      </c>
      <c r="P15" s="65">
        <f>Table22457891011234567891011[[#This Row],[PEMBULATAN]]*O15</f>
        <v>210000</v>
      </c>
    </row>
    <row r="16" spans="1:17" ht="26.25" customHeight="1" x14ac:dyDescent="0.2">
      <c r="A16" s="14"/>
      <c r="B16" s="14" t="s">
        <v>245</v>
      </c>
      <c r="C16" s="95" t="s">
        <v>246</v>
      </c>
      <c r="D16" s="96" t="s">
        <v>83</v>
      </c>
      <c r="E16" s="97">
        <v>44476</v>
      </c>
      <c r="F16" s="98" t="s">
        <v>232</v>
      </c>
      <c r="G16" s="97">
        <v>44477.833333333336</v>
      </c>
      <c r="H16" s="99" t="s">
        <v>120</v>
      </c>
      <c r="I16" s="100">
        <v>45</v>
      </c>
      <c r="J16" s="100">
        <v>38</v>
      </c>
      <c r="K16" s="100">
        <v>30</v>
      </c>
      <c r="L16" s="100">
        <v>11</v>
      </c>
      <c r="M16" s="101">
        <v>12.824999999999999</v>
      </c>
      <c r="N16" s="107">
        <v>12.824999999999999</v>
      </c>
      <c r="O16" s="64">
        <v>7000</v>
      </c>
      <c r="P16" s="65">
        <f>Table22457891011234567891011[[#This Row],[PEMBULATAN]]*O16</f>
        <v>89775</v>
      </c>
    </row>
    <row r="17" spans="1:16" ht="26.25" customHeight="1" x14ac:dyDescent="0.2">
      <c r="A17" s="14"/>
      <c r="B17" s="110"/>
      <c r="C17" s="95" t="s">
        <v>247</v>
      </c>
      <c r="D17" s="96" t="s">
        <v>83</v>
      </c>
      <c r="E17" s="97">
        <v>44476</v>
      </c>
      <c r="F17" s="98" t="s">
        <v>232</v>
      </c>
      <c r="G17" s="97">
        <v>44477.833333333336</v>
      </c>
      <c r="H17" s="99" t="s">
        <v>120</v>
      </c>
      <c r="I17" s="100">
        <v>50</v>
      </c>
      <c r="J17" s="100">
        <v>42</v>
      </c>
      <c r="K17" s="100">
        <v>27</v>
      </c>
      <c r="L17" s="100">
        <v>8</v>
      </c>
      <c r="M17" s="101">
        <v>14.175000000000001</v>
      </c>
      <c r="N17" s="107">
        <v>14.175000000000001</v>
      </c>
      <c r="O17" s="64">
        <v>7000</v>
      </c>
      <c r="P17" s="65">
        <f>Table22457891011234567891011[[#This Row],[PEMBULATAN]]*O17</f>
        <v>99225</v>
      </c>
    </row>
    <row r="18" spans="1:16" ht="26.25" customHeight="1" x14ac:dyDescent="0.2">
      <c r="A18" s="14"/>
      <c r="B18" s="14" t="s">
        <v>248</v>
      </c>
      <c r="C18" s="95" t="s">
        <v>249</v>
      </c>
      <c r="D18" s="96" t="s">
        <v>83</v>
      </c>
      <c r="E18" s="97">
        <v>44476</v>
      </c>
      <c r="F18" s="98" t="s">
        <v>232</v>
      </c>
      <c r="G18" s="97">
        <v>44477.833333333336</v>
      </c>
      <c r="H18" s="99" t="s">
        <v>120</v>
      </c>
      <c r="I18" s="100">
        <v>76</v>
      </c>
      <c r="J18" s="100">
        <v>33</v>
      </c>
      <c r="K18" s="100">
        <v>26</v>
      </c>
      <c r="L18" s="100">
        <v>12</v>
      </c>
      <c r="M18" s="101">
        <v>16.302</v>
      </c>
      <c r="N18" s="107">
        <v>17</v>
      </c>
      <c r="O18" s="64">
        <v>7000</v>
      </c>
      <c r="P18" s="65">
        <f>Table22457891011234567891011[[#This Row],[PEMBULATAN]]*O18</f>
        <v>119000</v>
      </c>
    </row>
    <row r="19" spans="1:16" ht="26.25" customHeight="1" x14ac:dyDescent="0.2">
      <c r="A19" s="14"/>
      <c r="B19" s="14"/>
      <c r="C19" s="95" t="s">
        <v>250</v>
      </c>
      <c r="D19" s="96" t="s">
        <v>83</v>
      </c>
      <c r="E19" s="97">
        <v>44476</v>
      </c>
      <c r="F19" s="98" t="s">
        <v>232</v>
      </c>
      <c r="G19" s="97">
        <v>44477.833333333336</v>
      </c>
      <c r="H19" s="99" t="s">
        <v>120</v>
      </c>
      <c r="I19" s="100">
        <v>76</v>
      </c>
      <c r="J19" s="100">
        <v>48</v>
      </c>
      <c r="K19" s="100">
        <v>36</v>
      </c>
      <c r="L19" s="100">
        <v>12</v>
      </c>
      <c r="M19" s="101">
        <v>32.832000000000001</v>
      </c>
      <c r="N19" s="107">
        <v>32.832000000000001</v>
      </c>
      <c r="O19" s="64">
        <v>7000</v>
      </c>
      <c r="P19" s="65">
        <f>Table22457891011234567891011[[#This Row],[PEMBULATAN]]*O19</f>
        <v>229824</v>
      </c>
    </row>
    <row r="20" spans="1:16" ht="26.25" customHeight="1" x14ac:dyDescent="0.2">
      <c r="A20" s="14"/>
      <c r="B20" s="14"/>
      <c r="C20" s="95" t="s">
        <v>251</v>
      </c>
      <c r="D20" s="96" t="s">
        <v>83</v>
      </c>
      <c r="E20" s="97">
        <v>44476</v>
      </c>
      <c r="F20" s="98" t="s">
        <v>232</v>
      </c>
      <c r="G20" s="97">
        <v>44477.833333333336</v>
      </c>
      <c r="H20" s="99" t="s">
        <v>120</v>
      </c>
      <c r="I20" s="100">
        <v>48</v>
      </c>
      <c r="J20" s="100">
        <v>17</v>
      </c>
      <c r="K20" s="100">
        <v>5</v>
      </c>
      <c r="L20" s="100">
        <v>12</v>
      </c>
      <c r="M20" s="101">
        <v>1.02</v>
      </c>
      <c r="N20" s="107">
        <v>12</v>
      </c>
      <c r="O20" s="64">
        <v>7000</v>
      </c>
      <c r="P20" s="65">
        <f>Table22457891011234567891011[[#This Row],[PEMBULATAN]]*O20</f>
        <v>84000</v>
      </c>
    </row>
    <row r="21" spans="1:16" ht="22.5" customHeight="1" x14ac:dyDescent="0.2">
      <c r="A21" s="143" t="s">
        <v>30</v>
      </c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5"/>
      <c r="M21" s="78">
        <f>SUBTOTAL(109,Table22457891011234567891011[KG VOLUME])</f>
        <v>308.08799999999997</v>
      </c>
      <c r="N21" s="68">
        <f>SUM(N3:N20)</f>
        <v>353.75599999999997</v>
      </c>
      <c r="O21" s="146">
        <f>SUM(P3:P20)</f>
        <v>2476292</v>
      </c>
      <c r="P21" s="147"/>
    </row>
    <row r="22" spans="1:16" ht="18" customHeight="1" x14ac:dyDescent="0.2">
      <c r="A22" s="85"/>
      <c r="B22" s="56" t="s">
        <v>42</v>
      </c>
      <c r="C22" s="55"/>
      <c r="D22" s="57" t="s">
        <v>43</v>
      </c>
      <c r="E22" s="85"/>
      <c r="F22" s="85"/>
      <c r="G22" s="85"/>
      <c r="H22" s="85"/>
      <c r="I22" s="85"/>
      <c r="J22" s="85"/>
      <c r="K22" s="85"/>
      <c r="L22" s="85"/>
      <c r="M22" s="86"/>
      <c r="N22" s="87" t="s">
        <v>52</v>
      </c>
      <c r="O22" s="88"/>
      <c r="P22" s="88">
        <v>0</v>
      </c>
    </row>
    <row r="23" spans="1:16" ht="18" customHeight="1" thickBot="1" x14ac:dyDescent="0.25">
      <c r="A23" s="85"/>
      <c r="B23" s="56"/>
      <c r="C23" s="55"/>
      <c r="D23" s="57"/>
      <c r="E23" s="85"/>
      <c r="F23" s="85"/>
      <c r="G23" s="85"/>
      <c r="H23" s="85"/>
      <c r="I23" s="85"/>
      <c r="J23" s="85"/>
      <c r="K23" s="85"/>
      <c r="L23" s="85"/>
      <c r="M23" s="86"/>
      <c r="N23" s="89" t="s">
        <v>53</v>
      </c>
      <c r="O23" s="90"/>
      <c r="P23" s="90">
        <f>O21-P22</f>
        <v>2476292</v>
      </c>
    </row>
    <row r="24" spans="1:16" ht="18" customHeight="1" x14ac:dyDescent="0.2">
      <c r="A24" s="11"/>
      <c r="H24" s="63"/>
      <c r="N24" s="62" t="s">
        <v>31</v>
      </c>
      <c r="P24" s="69">
        <f>P23*1%</f>
        <v>24762.920000000002</v>
      </c>
    </row>
    <row r="25" spans="1:16" ht="18" customHeight="1" thickBot="1" x14ac:dyDescent="0.25">
      <c r="A25" s="11"/>
      <c r="H25" s="63"/>
      <c r="N25" s="62" t="s">
        <v>54</v>
      </c>
      <c r="P25" s="71">
        <f>P23*2%</f>
        <v>49525.840000000004</v>
      </c>
    </row>
    <row r="26" spans="1:16" ht="18" customHeight="1" x14ac:dyDescent="0.2">
      <c r="A26" s="11"/>
      <c r="H26" s="63"/>
      <c r="N26" s="66" t="s">
        <v>32</v>
      </c>
      <c r="O26" s="67"/>
      <c r="P26" s="70">
        <f>P23+P24-P25</f>
        <v>2451529.08</v>
      </c>
    </row>
    <row r="28" spans="1:16" x14ac:dyDescent="0.2">
      <c r="A28" s="11"/>
      <c r="H28" s="63"/>
      <c r="P28" s="71"/>
    </row>
    <row r="29" spans="1:16" x14ac:dyDescent="0.2">
      <c r="A29" s="11"/>
      <c r="H29" s="63"/>
      <c r="O29" s="58"/>
      <c r="P29" s="71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</sheetData>
  <mergeCells count="2">
    <mergeCell ref="A21:L21"/>
    <mergeCell ref="O21:P21"/>
  </mergeCells>
  <conditionalFormatting sqref="B3">
    <cfRule type="duplicateValues" dxfId="770" priority="2"/>
  </conditionalFormatting>
  <conditionalFormatting sqref="B4">
    <cfRule type="duplicateValues" dxfId="769" priority="1"/>
  </conditionalFormatting>
  <conditionalFormatting sqref="B5:B20">
    <cfRule type="duplicateValues" dxfId="768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402177</v>
      </c>
      <c r="B3" s="109" t="s">
        <v>274</v>
      </c>
      <c r="C3" s="9" t="s">
        <v>275</v>
      </c>
      <c r="D3" s="75" t="s">
        <v>83</v>
      </c>
      <c r="E3" s="13">
        <v>44476</v>
      </c>
      <c r="F3" s="75" t="s">
        <v>232</v>
      </c>
      <c r="G3" s="13">
        <v>44477.833333333336</v>
      </c>
      <c r="H3" s="10" t="s">
        <v>120</v>
      </c>
      <c r="I3" s="1">
        <v>60</v>
      </c>
      <c r="J3" s="1">
        <v>50</v>
      </c>
      <c r="K3" s="1">
        <v>51</v>
      </c>
      <c r="L3" s="1">
        <v>20</v>
      </c>
      <c r="M3" s="79">
        <v>38.25</v>
      </c>
      <c r="N3" s="103">
        <v>38.25</v>
      </c>
      <c r="O3" s="64">
        <v>7000</v>
      </c>
      <c r="P3" s="65">
        <f>Table2245789101123456789101112[[#This Row],[PEMBULATAN]]*O3</f>
        <v>267750</v>
      </c>
    </row>
    <row r="4" spans="1:16" ht="26.25" customHeight="1" x14ac:dyDescent="0.2">
      <c r="A4" s="14"/>
      <c r="B4" s="74" t="s">
        <v>276</v>
      </c>
      <c r="C4" s="9" t="s">
        <v>277</v>
      </c>
      <c r="D4" s="75" t="s">
        <v>83</v>
      </c>
      <c r="E4" s="13">
        <v>44476</v>
      </c>
      <c r="F4" s="75" t="s">
        <v>232</v>
      </c>
      <c r="G4" s="13">
        <v>44477.833333333336</v>
      </c>
      <c r="H4" s="10" t="s">
        <v>120</v>
      </c>
      <c r="I4" s="1">
        <v>47</v>
      </c>
      <c r="J4" s="1">
        <v>38</v>
      </c>
      <c r="K4" s="1">
        <v>39</v>
      </c>
      <c r="L4" s="1">
        <v>12</v>
      </c>
      <c r="M4" s="79">
        <v>17.413499999999999</v>
      </c>
      <c r="N4" s="103">
        <v>18</v>
      </c>
      <c r="O4" s="64">
        <v>7000</v>
      </c>
      <c r="P4" s="65">
        <f>Table2245789101123456789101112[[#This Row],[PEMBULATAN]]*O4</f>
        <v>126000</v>
      </c>
    </row>
    <row r="5" spans="1:16" ht="22.5" customHeight="1" x14ac:dyDescent="0.2">
      <c r="A5" s="143" t="s">
        <v>30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5"/>
      <c r="M5" s="78">
        <f>SUBTOTAL(109,Table2245789101123456789101112[KG VOLUME])</f>
        <v>55.663499999999999</v>
      </c>
      <c r="N5" s="68">
        <f>SUM(N3:N4)</f>
        <v>56.25</v>
      </c>
      <c r="O5" s="146">
        <f>SUM(P3:P4)</f>
        <v>393750</v>
      </c>
      <c r="P5" s="147"/>
    </row>
    <row r="6" spans="1:16" ht="18" customHeight="1" x14ac:dyDescent="0.2">
      <c r="A6" s="85"/>
      <c r="B6" s="56" t="s">
        <v>42</v>
      </c>
      <c r="C6" s="55"/>
      <c r="D6" s="57" t="s">
        <v>43</v>
      </c>
      <c r="E6" s="85"/>
      <c r="F6" s="85"/>
      <c r="G6" s="85"/>
      <c r="H6" s="85"/>
      <c r="I6" s="85"/>
      <c r="J6" s="85"/>
      <c r="K6" s="85"/>
      <c r="L6" s="85"/>
      <c r="M6" s="86"/>
      <c r="N6" s="87" t="s">
        <v>52</v>
      </c>
      <c r="O6" s="88"/>
      <c r="P6" s="88">
        <v>0</v>
      </c>
    </row>
    <row r="7" spans="1:16" ht="18" customHeight="1" thickBot="1" x14ac:dyDescent="0.25">
      <c r="A7" s="85"/>
      <c r="B7" s="56"/>
      <c r="C7" s="55"/>
      <c r="D7" s="57"/>
      <c r="E7" s="85"/>
      <c r="F7" s="85"/>
      <c r="G7" s="85"/>
      <c r="H7" s="85"/>
      <c r="I7" s="85"/>
      <c r="J7" s="85"/>
      <c r="K7" s="85"/>
      <c r="L7" s="85"/>
      <c r="M7" s="86"/>
      <c r="N7" s="89" t="s">
        <v>53</v>
      </c>
      <c r="O7" s="90"/>
      <c r="P7" s="90">
        <f>O5-P6</f>
        <v>393750</v>
      </c>
    </row>
    <row r="8" spans="1:16" ht="18" customHeight="1" x14ac:dyDescent="0.2">
      <c r="A8" s="11"/>
      <c r="H8" s="63"/>
      <c r="N8" s="62" t="s">
        <v>31</v>
      </c>
      <c r="P8" s="69">
        <f>P7*1%</f>
        <v>3937.5</v>
      </c>
    </row>
    <row r="9" spans="1:16" ht="18" customHeight="1" thickBot="1" x14ac:dyDescent="0.25">
      <c r="A9" s="11"/>
      <c r="H9" s="63"/>
      <c r="N9" s="62" t="s">
        <v>54</v>
      </c>
      <c r="P9" s="71">
        <f>P7*2%</f>
        <v>7875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389812.5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752" priority="2"/>
  </conditionalFormatting>
  <conditionalFormatting sqref="B4">
    <cfRule type="duplicateValues" dxfId="751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1"/>
  <sheetViews>
    <sheetView zoomScale="110" zoomScaleNormal="110" workbookViewId="0">
      <pane xSplit="3" ySplit="2" topLeftCell="D14" activePane="bottomRight" state="frozen"/>
      <selection pane="topRight" activeCell="B1" sqref="B1"/>
      <selection pane="bottomLeft" activeCell="A3" sqref="A3"/>
      <selection pane="bottomRight" activeCell="O22" sqref="O2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402179</v>
      </c>
      <c r="B3" s="73" t="s">
        <v>254</v>
      </c>
      <c r="C3" s="9" t="s">
        <v>255</v>
      </c>
      <c r="D3" s="75" t="s">
        <v>83</v>
      </c>
      <c r="E3" s="13">
        <v>44477</v>
      </c>
      <c r="F3" s="75" t="s">
        <v>119</v>
      </c>
      <c r="G3" s="13">
        <v>44477.833333333336</v>
      </c>
      <c r="H3" s="10" t="s">
        <v>120</v>
      </c>
      <c r="I3" s="1">
        <v>51</v>
      </c>
      <c r="J3" s="1">
        <v>44</v>
      </c>
      <c r="K3" s="1">
        <v>27</v>
      </c>
      <c r="L3" s="1">
        <v>11</v>
      </c>
      <c r="M3" s="79">
        <v>15.147</v>
      </c>
      <c r="N3" s="103">
        <v>15.147</v>
      </c>
      <c r="O3" s="64">
        <v>7000</v>
      </c>
      <c r="P3" s="65">
        <f>Table224578910112345678910111213[[#This Row],[PEMBULATAN]]*O3</f>
        <v>106029</v>
      </c>
    </row>
    <row r="4" spans="1:16" ht="26.25" customHeight="1" x14ac:dyDescent="0.2">
      <c r="A4" s="14"/>
      <c r="B4" s="74"/>
      <c r="C4" s="9" t="s">
        <v>256</v>
      </c>
      <c r="D4" s="75" t="s">
        <v>83</v>
      </c>
      <c r="E4" s="13">
        <v>44477</v>
      </c>
      <c r="F4" s="75" t="s">
        <v>119</v>
      </c>
      <c r="G4" s="13">
        <v>44477.833333333336</v>
      </c>
      <c r="H4" s="10" t="s">
        <v>120</v>
      </c>
      <c r="I4" s="1">
        <v>83</v>
      </c>
      <c r="J4" s="1">
        <v>76</v>
      </c>
      <c r="K4" s="1">
        <v>34</v>
      </c>
      <c r="L4" s="1">
        <v>61</v>
      </c>
      <c r="M4" s="79">
        <v>53.618000000000002</v>
      </c>
      <c r="N4" s="103">
        <v>61</v>
      </c>
      <c r="O4" s="64">
        <v>7000</v>
      </c>
      <c r="P4" s="65">
        <f>Table224578910112345678910111213[[#This Row],[PEMBULATAN]]*O4</f>
        <v>427000</v>
      </c>
    </row>
    <row r="5" spans="1:16" ht="26.25" customHeight="1" x14ac:dyDescent="0.2">
      <c r="A5" s="14"/>
      <c r="B5" s="14"/>
      <c r="C5" s="9" t="s">
        <v>257</v>
      </c>
      <c r="D5" s="75" t="s">
        <v>83</v>
      </c>
      <c r="E5" s="13">
        <v>44477</v>
      </c>
      <c r="F5" s="75" t="s">
        <v>119</v>
      </c>
      <c r="G5" s="13">
        <v>44477.833333333336</v>
      </c>
      <c r="H5" s="10" t="s">
        <v>120</v>
      </c>
      <c r="I5" s="1">
        <v>45</v>
      </c>
      <c r="J5" s="1">
        <v>29</v>
      </c>
      <c r="K5" s="1">
        <v>30</v>
      </c>
      <c r="L5" s="1">
        <v>6</v>
      </c>
      <c r="M5" s="79">
        <v>9.7874999999999996</v>
      </c>
      <c r="N5" s="103">
        <v>9.7874999999999996</v>
      </c>
      <c r="O5" s="64">
        <v>7000</v>
      </c>
      <c r="P5" s="65">
        <f>Table224578910112345678910111213[[#This Row],[PEMBULATAN]]*O5</f>
        <v>68512.5</v>
      </c>
    </row>
    <row r="6" spans="1:16" ht="26.25" customHeight="1" x14ac:dyDescent="0.2">
      <c r="A6" s="14"/>
      <c r="B6" s="14"/>
      <c r="C6" s="95" t="s">
        <v>258</v>
      </c>
      <c r="D6" s="96" t="s">
        <v>83</v>
      </c>
      <c r="E6" s="97">
        <v>44477</v>
      </c>
      <c r="F6" s="98" t="s">
        <v>119</v>
      </c>
      <c r="G6" s="97">
        <v>44477.833333333336</v>
      </c>
      <c r="H6" s="99" t="s">
        <v>120</v>
      </c>
      <c r="I6" s="100">
        <v>54</v>
      </c>
      <c r="J6" s="100">
        <v>45</v>
      </c>
      <c r="K6" s="100">
        <v>17</v>
      </c>
      <c r="L6" s="100">
        <v>7</v>
      </c>
      <c r="M6" s="101">
        <v>10.327500000000001</v>
      </c>
      <c r="N6" s="107">
        <v>11</v>
      </c>
      <c r="O6" s="64">
        <v>7000</v>
      </c>
      <c r="P6" s="65">
        <f>Table224578910112345678910111213[[#This Row],[PEMBULATAN]]*O6</f>
        <v>77000</v>
      </c>
    </row>
    <row r="7" spans="1:16" ht="26.25" customHeight="1" x14ac:dyDescent="0.2">
      <c r="A7" s="14"/>
      <c r="B7" s="14"/>
      <c r="C7" s="95" t="s">
        <v>259</v>
      </c>
      <c r="D7" s="96" t="s">
        <v>83</v>
      </c>
      <c r="E7" s="97">
        <v>44477</v>
      </c>
      <c r="F7" s="98" t="s">
        <v>119</v>
      </c>
      <c r="G7" s="97">
        <v>44477.833333333336</v>
      </c>
      <c r="H7" s="99" t="s">
        <v>120</v>
      </c>
      <c r="I7" s="100">
        <v>51</v>
      </c>
      <c r="J7" s="100">
        <v>33</v>
      </c>
      <c r="K7" s="100">
        <v>27</v>
      </c>
      <c r="L7" s="100">
        <v>7</v>
      </c>
      <c r="M7" s="101">
        <v>11.360250000000001</v>
      </c>
      <c r="N7" s="107">
        <v>12</v>
      </c>
      <c r="O7" s="64">
        <v>7000</v>
      </c>
      <c r="P7" s="65">
        <f>Table224578910112345678910111213[[#This Row],[PEMBULATAN]]*O7</f>
        <v>84000</v>
      </c>
    </row>
    <row r="8" spans="1:16" ht="26.25" customHeight="1" x14ac:dyDescent="0.2">
      <c r="A8" s="14"/>
      <c r="B8" s="14"/>
      <c r="C8" s="95" t="s">
        <v>260</v>
      </c>
      <c r="D8" s="96" t="s">
        <v>83</v>
      </c>
      <c r="E8" s="97">
        <v>44477</v>
      </c>
      <c r="F8" s="98" t="s">
        <v>119</v>
      </c>
      <c r="G8" s="97">
        <v>44477.833333333336</v>
      </c>
      <c r="H8" s="99" t="s">
        <v>120</v>
      </c>
      <c r="I8" s="100">
        <v>124</v>
      </c>
      <c r="J8" s="100">
        <v>18</v>
      </c>
      <c r="K8" s="100">
        <v>18</v>
      </c>
      <c r="L8" s="100">
        <v>22</v>
      </c>
      <c r="M8" s="101">
        <v>10.044</v>
      </c>
      <c r="N8" s="107">
        <v>22</v>
      </c>
      <c r="O8" s="64">
        <v>7000</v>
      </c>
      <c r="P8" s="65">
        <f>Table224578910112345678910111213[[#This Row],[PEMBULATAN]]*O8</f>
        <v>154000</v>
      </c>
    </row>
    <row r="9" spans="1:16" ht="26.25" customHeight="1" x14ac:dyDescent="0.2">
      <c r="A9" s="14"/>
      <c r="B9" s="14"/>
      <c r="C9" s="95" t="s">
        <v>261</v>
      </c>
      <c r="D9" s="96" t="s">
        <v>83</v>
      </c>
      <c r="E9" s="97">
        <v>44477</v>
      </c>
      <c r="F9" s="98" t="s">
        <v>119</v>
      </c>
      <c r="G9" s="97">
        <v>44477.833333333336</v>
      </c>
      <c r="H9" s="99" t="s">
        <v>120</v>
      </c>
      <c r="I9" s="100">
        <v>120</v>
      </c>
      <c r="J9" s="100">
        <v>50</v>
      </c>
      <c r="K9" s="100">
        <v>23</v>
      </c>
      <c r="L9" s="100">
        <v>15</v>
      </c>
      <c r="M9" s="101">
        <v>34.5</v>
      </c>
      <c r="N9" s="107">
        <v>34.5</v>
      </c>
      <c r="O9" s="64">
        <v>7000</v>
      </c>
      <c r="P9" s="65">
        <f>Table224578910112345678910111213[[#This Row],[PEMBULATAN]]*O9</f>
        <v>241500</v>
      </c>
    </row>
    <row r="10" spans="1:16" ht="26.25" customHeight="1" x14ac:dyDescent="0.2">
      <c r="A10" s="14"/>
      <c r="B10" s="14"/>
      <c r="C10" s="95" t="s">
        <v>262</v>
      </c>
      <c r="D10" s="96" t="s">
        <v>83</v>
      </c>
      <c r="E10" s="97">
        <v>44477</v>
      </c>
      <c r="F10" s="98" t="s">
        <v>119</v>
      </c>
      <c r="G10" s="97">
        <v>44477.833333333336</v>
      </c>
      <c r="H10" s="99" t="s">
        <v>120</v>
      </c>
      <c r="I10" s="100">
        <v>31</v>
      </c>
      <c r="J10" s="100">
        <v>22</v>
      </c>
      <c r="K10" s="100">
        <v>28</v>
      </c>
      <c r="L10" s="100">
        <v>6</v>
      </c>
      <c r="M10" s="101">
        <v>4.774</v>
      </c>
      <c r="N10" s="107">
        <v>6</v>
      </c>
      <c r="O10" s="64">
        <v>7000</v>
      </c>
      <c r="P10" s="65">
        <f>Table224578910112345678910111213[[#This Row],[PEMBULATAN]]*O10</f>
        <v>42000</v>
      </c>
    </row>
    <row r="11" spans="1:16" ht="26.25" customHeight="1" x14ac:dyDescent="0.2">
      <c r="A11" s="14"/>
      <c r="B11" s="14"/>
      <c r="C11" s="95" t="s">
        <v>263</v>
      </c>
      <c r="D11" s="96" t="s">
        <v>83</v>
      </c>
      <c r="E11" s="97">
        <v>44477</v>
      </c>
      <c r="F11" s="98" t="s">
        <v>119</v>
      </c>
      <c r="G11" s="97">
        <v>44477.833333333336</v>
      </c>
      <c r="H11" s="99" t="s">
        <v>120</v>
      </c>
      <c r="I11" s="100">
        <v>45</v>
      </c>
      <c r="J11" s="100">
        <v>30</v>
      </c>
      <c r="K11" s="100">
        <v>28</v>
      </c>
      <c r="L11" s="100">
        <v>8</v>
      </c>
      <c r="M11" s="101">
        <v>9.4499999999999993</v>
      </c>
      <c r="N11" s="107">
        <v>10</v>
      </c>
      <c r="O11" s="64">
        <v>7000</v>
      </c>
      <c r="P11" s="65">
        <f>Table224578910112345678910111213[[#This Row],[PEMBULATAN]]*O11</f>
        <v>70000</v>
      </c>
    </row>
    <row r="12" spans="1:16" ht="26.25" customHeight="1" x14ac:dyDescent="0.2">
      <c r="A12" s="14"/>
      <c r="B12" s="14"/>
      <c r="C12" s="95" t="s">
        <v>264</v>
      </c>
      <c r="D12" s="96" t="s">
        <v>83</v>
      </c>
      <c r="E12" s="97">
        <v>44477</v>
      </c>
      <c r="F12" s="98" t="s">
        <v>119</v>
      </c>
      <c r="G12" s="97">
        <v>44477.833333333336</v>
      </c>
      <c r="H12" s="99" t="s">
        <v>120</v>
      </c>
      <c r="I12" s="100">
        <v>44</v>
      </c>
      <c r="J12" s="100">
        <v>36</v>
      </c>
      <c r="K12" s="100">
        <v>27</v>
      </c>
      <c r="L12" s="100">
        <v>10</v>
      </c>
      <c r="M12" s="101">
        <v>10.692</v>
      </c>
      <c r="N12" s="107">
        <v>10.692</v>
      </c>
      <c r="O12" s="64">
        <v>7000</v>
      </c>
      <c r="P12" s="65">
        <f>Table224578910112345678910111213[[#This Row],[PEMBULATAN]]*O12</f>
        <v>74844</v>
      </c>
    </row>
    <row r="13" spans="1:16" ht="26.25" customHeight="1" x14ac:dyDescent="0.2">
      <c r="A13" s="14"/>
      <c r="B13" s="14"/>
      <c r="C13" s="95" t="s">
        <v>265</v>
      </c>
      <c r="D13" s="96" t="s">
        <v>83</v>
      </c>
      <c r="E13" s="97">
        <v>44477</v>
      </c>
      <c r="F13" s="98" t="s">
        <v>119</v>
      </c>
      <c r="G13" s="97">
        <v>44477.833333333336</v>
      </c>
      <c r="H13" s="99" t="s">
        <v>120</v>
      </c>
      <c r="I13" s="100">
        <v>33</v>
      </c>
      <c r="J13" s="100">
        <v>31</v>
      </c>
      <c r="K13" s="100">
        <v>22</v>
      </c>
      <c r="L13" s="100">
        <v>4</v>
      </c>
      <c r="M13" s="101">
        <v>5.6265000000000001</v>
      </c>
      <c r="N13" s="107">
        <v>5.6265000000000001</v>
      </c>
      <c r="O13" s="64">
        <v>7000</v>
      </c>
      <c r="P13" s="65">
        <f>Table224578910112345678910111213[[#This Row],[PEMBULATAN]]*O13</f>
        <v>39385.5</v>
      </c>
    </row>
    <row r="14" spans="1:16" ht="26.25" customHeight="1" x14ac:dyDescent="0.2">
      <c r="A14" s="14"/>
      <c r="B14" s="14"/>
      <c r="C14" s="95" t="s">
        <v>266</v>
      </c>
      <c r="D14" s="96" t="s">
        <v>83</v>
      </c>
      <c r="E14" s="97">
        <v>44477</v>
      </c>
      <c r="F14" s="98" t="s">
        <v>119</v>
      </c>
      <c r="G14" s="97">
        <v>44477.833333333336</v>
      </c>
      <c r="H14" s="99" t="s">
        <v>120</v>
      </c>
      <c r="I14" s="100">
        <v>87</v>
      </c>
      <c r="J14" s="100">
        <v>67</v>
      </c>
      <c r="K14" s="100">
        <v>30</v>
      </c>
      <c r="L14" s="100">
        <v>8</v>
      </c>
      <c r="M14" s="101">
        <v>43.717500000000001</v>
      </c>
      <c r="N14" s="107">
        <v>43.717500000000001</v>
      </c>
      <c r="O14" s="64">
        <v>7000</v>
      </c>
      <c r="P14" s="65">
        <f>Table224578910112345678910111213[[#This Row],[PEMBULATAN]]*O14</f>
        <v>306022.5</v>
      </c>
    </row>
    <row r="15" spans="1:16" ht="26.25" customHeight="1" x14ac:dyDescent="0.2">
      <c r="A15" s="14"/>
      <c r="B15" s="14"/>
      <c r="C15" s="95" t="s">
        <v>267</v>
      </c>
      <c r="D15" s="96" t="s">
        <v>83</v>
      </c>
      <c r="E15" s="97">
        <v>44477</v>
      </c>
      <c r="F15" s="98" t="s">
        <v>119</v>
      </c>
      <c r="G15" s="97">
        <v>44477.833333333336</v>
      </c>
      <c r="H15" s="99" t="s">
        <v>120</v>
      </c>
      <c r="I15" s="100">
        <v>61</v>
      </c>
      <c r="J15" s="100">
        <v>52</v>
      </c>
      <c r="K15" s="100">
        <v>40</v>
      </c>
      <c r="L15" s="100">
        <v>36</v>
      </c>
      <c r="M15" s="101">
        <v>31.72</v>
      </c>
      <c r="N15" s="107">
        <v>36</v>
      </c>
      <c r="O15" s="64">
        <v>7000</v>
      </c>
      <c r="P15" s="65">
        <f>Table224578910112345678910111213[[#This Row],[PEMBULATAN]]*O15</f>
        <v>252000</v>
      </c>
    </row>
    <row r="16" spans="1:16" ht="26.25" customHeight="1" x14ac:dyDescent="0.2">
      <c r="A16" s="14"/>
      <c r="B16" s="14"/>
      <c r="C16" s="95" t="s">
        <v>268</v>
      </c>
      <c r="D16" s="96" t="s">
        <v>83</v>
      </c>
      <c r="E16" s="97">
        <v>44477</v>
      </c>
      <c r="F16" s="98" t="s">
        <v>119</v>
      </c>
      <c r="G16" s="97">
        <v>44477.833333333336</v>
      </c>
      <c r="H16" s="99" t="s">
        <v>120</v>
      </c>
      <c r="I16" s="100">
        <v>85</v>
      </c>
      <c r="J16" s="100">
        <v>64</v>
      </c>
      <c r="K16" s="100">
        <v>95</v>
      </c>
      <c r="L16" s="100">
        <v>18</v>
      </c>
      <c r="M16" s="101">
        <v>129.19999999999999</v>
      </c>
      <c r="N16" s="107">
        <v>129.19999999999999</v>
      </c>
      <c r="O16" s="64">
        <v>7000</v>
      </c>
      <c r="P16" s="65">
        <f>Table224578910112345678910111213[[#This Row],[PEMBULATAN]]*O16</f>
        <v>904399.99999999988</v>
      </c>
    </row>
    <row r="17" spans="1:16" ht="26.25" customHeight="1" x14ac:dyDescent="0.2">
      <c r="A17" s="14"/>
      <c r="B17" s="110"/>
      <c r="C17" s="95" t="s">
        <v>269</v>
      </c>
      <c r="D17" s="96" t="s">
        <v>83</v>
      </c>
      <c r="E17" s="97">
        <v>44477</v>
      </c>
      <c r="F17" s="98" t="s">
        <v>119</v>
      </c>
      <c r="G17" s="97">
        <v>44477.833333333336</v>
      </c>
      <c r="H17" s="99" t="s">
        <v>120</v>
      </c>
      <c r="I17" s="100">
        <v>77</v>
      </c>
      <c r="J17" s="100">
        <v>47</v>
      </c>
      <c r="K17" s="100">
        <v>10</v>
      </c>
      <c r="L17" s="100">
        <v>8</v>
      </c>
      <c r="M17" s="101">
        <v>9.0474999999999994</v>
      </c>
      <c r="N17" s="107">
        <v>9.0474999999999994</v>
      </c>
      <c r="O17" s="64">
        <v>7000</v>
      </c>
      <c r="P17" s="65">
        <f>Table224578910112345678910111213[[#This Row],[PEMBULATAN]]*O17</f>
        <v>63332.499999999993</v>
      </c>
    </row>
    <row r="18" spans="1:16" ht="26.25" customHeight="1" x14ac:dyDescent="0.2">
      <c r="A18" s="14"/>
      <c r="B18" s="14" t="s">
        <v>270</v>
      </c>
      <c r="C18" s="95" t="s">
        <v>271</v>
      </c>
      <c r="D18" s="96" t="s">
        <v>83</v>
      </c>
      <c r="E18" s="97">
        <v>44477</v>
      </c>
      <c r="F18" s="98" t="s">
        <v>119</v>
      </c>
      <c r="G18" s="97">
        <v>44477.833333333336</v>
      </c>
      <c r="H18" s="99" t="s">
        <v>120</v>
      </c>
      <c r="I18" s="100">
        <v>53</v>
      </c>
      <c r="J18" s="100">
        <v>51</v>
      </c>
      <c r="K18" s="100">
        <v>17</v>
      </c>
      <c r="L18" s="100">
        <v>7</v>
      </c>
      <c r="M18" s="101">
        <v>11.48775</v>
      </c>
      <c r="N18" s="107">
        <v>12</v>
      </c>
      <c r="O18" s="64">
        <v>7000</v>
      </c>
      <c r="P18" s="65">
        <f>Table224578910112345678910111213[[#This Row],[PEMBULATAN]]*O18</f>
        <v>84000</v>
      </c>
    </row>
    <row r="19" spans="1:16" ht="26.25" customHeight="1" x14ac:dyDescent="0.2">
      <c r="A19" s="14"/>
      <c r="B19" s="14"/>
      <c r="C19" s="95" t="s">
        <v>272</v>
      </c>
      <c r="D19" s="96" t="s">
        <v>83</v>
      </c>
      <c r="E19" s="97">
        <v>44477</v>
      </c>
      <c r="F19" s="98" t="s">
        <v>119</v>
      </c>
      <c r="G19" s="97">
        <v>44477.833333333336</v>
      </c>
      <c r="H19" s="99" t="s">
        <v>120</v>
      </c>
      <c r="I19" s="100">
        <v>62</v>
      </c>
      <c r="J19" s="100">
        <v>40</v>
      </c>
      <c r="K19" s="100">
        <v>20</v>
      </c>
      <c r="L19" s="100">
        <v>9</v>
      </c>
      <c r="M19" s="101">
        <v>12.4</v>
      </c>
      <c r="N19" s="107">
        <v>13</v>
      </c>
      <c r="O19" s="64">
        <v>7000</v>
      </c>
      <c r="P19" s="65">
        <f>Table224578910112345678910111213[[#This Row],[PEMBULATAN]]*O19</f>
        <v>91000</v>
      </c>
    </row>
    <row r="20" spans="1:16" ht="26.25" customHeight="1" x14ac:dyDescent="0.2">
      <c r="A20" s="14"/>
      <c r="B20" s="14"/>
      <c r="C20" s="95" t="s">
        <v>273</v>
      </c>
      <c r="D20" s="96" t="s">
        <v>83</v>
      </c>
      <c r="E20" s="97">
        <v>44477</v>
      </c>
      <c r="F20" s="98" t="s">
        <v>119</v>
      </c>
      <c r="G20" s="97">
        <v>44477.833333333336</v>
      </c>
      <c r="H20" s="99" t="s">
        <v>120</v>
      </c>
      <c r="I20" s="100">
        <v>52</v>
      </c>
      <c r="J20" s="100">
        <v>40</v>
      </c>
      <c r="K20" s="100">
        <v>39</v>
      </c>
      <c r="L20" s="100">
        <v>24</v>
      </c>
      <c r="M20" s="101">
        <v>20.28</v>
      </c>
      <c r="N20" s="107">
        <v>24</v>
      </c>
      <c r="O20" s="64">
        <v>7000</v>
      </c>
      <c r="P20" s="65">
        <f>Table224578910112345678910111213[[#This Row],[PEMBULATAN]]*O20</f>
        <v>168000</v>
      </c>
    </row>
    <row r="21" spans="1:16" ht="22.5" customHeight="1" x14ac:dyDescent="0.2">
      <c r="A21" s="143" t="s">
        <v>30</v>
      </c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5"/>
      <c r="M21" s="78">
        <f>SUBTOTAL(109,Table224578910112345678910111213[KG VOLUME])</f>
        <v>433.17949999999996</v>
      </c>
      <c r="N21" s="68">
        <f>SUM(N3:N20)</f>
        <v>464.71800000000002</v>
      </c>
      <c r="O21" s="146">
        <f>SUM(P3:P20)</f>
        <v>3253026</v>
      </c>
      <c r="P21" s="147"/>
    </row>
    <row r="22" spans="1:16" ht="18" customHeight="1" x14ac:dyDescent="0.2">
      <c r="A22" s="85"/>
      <c r="B22" s="56" t="s">
        <v>42</v>
      </c>
      <c r="C22" s="55"/>
      <c r="D22" s="57" t="s">
        <v>43</v>
      </c>
      <c r="E22" s="85"/>
      <c r="F22" s="85"/>
      <c r="G22" s="85"/>
      <c r="H22" s="85"/>
      <c r="I22" s="85"/>
      <c r="J22" s="85"/>
      <c r="K22" s="85"/>
      <c r="L22" s="85"/>
      <c r="M22" s="86"/>
      <c r="N22" s="87" t="s">
        <v>52</v>
      </c>
      <c r="O22" s="88"/>
      <c r="P22" s="88">
        <v>0</v>
      </c>
    </row>
    <row r="23" spans="1:16" ht="18" customHeight="1" thickBot="1" x14ac:dyDescent="0.25">
      <c r="A23" s="85"/>
      <c r="B23" s="56"/>
      <c r="C23" s="55"/>
      <c r="D23" s="57"/>
      <c r="E23" s="85"/>
      <c r="F23" s="85"/>
      <c r="G23" s="85"/>
      <c r="H23" s="85"/>
      <c r="I23" s="85"/>
      <c r="J23" s="85"/>
      <c r="K23" s="85"/>
      <c r="L23" s="85"/>
      <c r="M23" s="86"/>
      <c r="N23" s="89" t="s">
        <v>53</v>
      </c>
      <c r="O23" s="90"/>
      <c r="P23" s="90">
        <f>O21-P22</f>
        <v>3253026</v>
      </c>
    </row>
    <row r="24" spans="1:16" ht="18" customHeight="1" x14ac:dyDescent="0.2">
      <c r="A24" s="11"/>
      <c r="H24" s="63"/>
      <c r="N24" s="62" t="s">
        <v>31</v>
      </c>
      <c r="P24" s="69">
        <f>P23*1%</f>
        <v>32530.260000000002</v>
      </c>
    </row>
    <row r="25" spans="1:16" ht="18" customHeight="1" thickBot="1" x14ac:dyDescent="0.25">
      <c r="A25" s="11"/>
      <c r="H25" s="63"/>
      <c r="N25" s="62" t="s">
        <v>54</v>
      </c>
      <c r="P25" s="71">
        <f>P23*2%</f>
        <v>65060.520000000004</v>
      </c>
    </row>
    <row r="26" spans="1:16" ht="18" customHeight="1" x14ac:dyDescent="0.2">
      <c r="A26" s="11"/>
      <c r="H26" s="63"/>
      <c r="N26" s="66" t="s">
        <v>32</v>
      </c>
      <c r="O26" s="67"/>
      <c r="P26" s="70">
        <f>P23+P24-P25</f>
        <v>3220495.7399999998</v>
      </c>
    </row>
    <row r="28" spans="1:16" x14ac:dyDescent="0.2">
      <c r="A28" s="11"/>
      <c r="H28" s="63"/>
      <c r="P28" s="71"/>
    </row>
    <row r="29" spans="1:16" x14ac:dyDescent="0.2">
      <c r="A29" s="11"/>
      <c r="H29" s="63"/>
      <c r="O29" s="58"/>
      <c r="P29" s="71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</sheetData>
  <mergeCells count="2">
    <mergeCell ref="A21:L21"/>
    <mergeCell ref="O21:P21"/>
  </mergeCells>
  <conditionalFormatting sqref="B3">
    <cfRule type="duplicateValues" dxfId="735" priority="2"/>
  </conditionalFormatting>
  <conditionalFormatting sqref="B4">
    <cfRule type="duplicateValues" dxfId="734" priority="1"/>
  </conditionalFormatting>
  <conditionalFormatting sqref="B5:B20">
    <cfRule type="duplicateValues" dxfId="733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2" sqref="O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402181</v>
      </c>
      <c r="B3" s="73" t="s">
        <v>278</v>
      </c>
      <c r="C3" s="9" t="s">
        <v>279</v>
      </c>
      <c r="D3" s="75" t="s">
        <v>83</v>
      </c>
      <c r="E3" s="13">
        <v>44477</v>
      </c>
      <c r="F3" s="75" t="s">
        <v>119</v>
      </c>
      <c r="G3" s="13">
        <v>44477.833333333336</v>
      </c>
      <c r="H3" s="10" t="s">
        <v>120</v>
      </c>
      <c r="I3" s="1">
        <v>34</v>
      </c>
      <c r="J3" s="1">
        <v>23</v>
      </c>
      <c r="K3" s="1">
        <v>18</v>
      </c>
      <c r="L3" s="1">
        <v>7</v>
      </c>
      <c r="M3" s="79">
        <v>3.5190000000000001</v>
      </c>
      <c r="N3" s="103">
        <v>7</v>
      </c>
      <c r="O3" s="64">
        <v>7000</v>
      </c>
      <c r="P3" s="65">
        <f>Table22457891011234567891011121314[[#This Row],[PEMBULATAN]]*O3</f>
        <v>49000</v>
      </c>
    </row>
    <row r="4" spans="1:16" ht="26.25" customHeight="1" x14ac:dyDescent="0.2">
      <c r="A4" s="14"/>
      <c r="B4" s="74"/>
      <c r="C4" s="9" t="s">
        <v>280</v>
      </c>
      <c r="D4" s="75" t="s">
        <v>83</v>
      </c>
      <c r="E4" s="13">
        <v>44477</v>
      </c>
      <c r="F4" s="75" t="s">
        <v>119</v>
      </c>
      <c r="G4" s="13">
        <v>44477.833333333336</v>
      </c>
      <c r="H4" s="10" t="s">
        <v>120</v>
      </c>
      <c r="I4" s="1">
        <v>40</v>
      </c>
      <c r="J4" s="1">
        <v>33</v>
      </c>
      <c r="K4" s="1">
        <v>16</v>
      </c>
      <c r="L4" s="1">
        <v>10</v>
      </c>
      <c r="M4" s="79">
        <v>5.28</v>
      </c>
      <c r="N4" s="103">
        <v>10</v>
      </c>
      <c r="O4" s="64">
        <v>7000</v>
      </c>
      <c r="P4" s="65">
        <f>Table22457891011234567891011121314[[#This Row],[PEMBULATAN]]*O4</f>
        <v>70000</v>
      </c>
    </row>
    <row r="5" spans="1:16" ht="26.25" customHeight="1" x14ac:dyDescent="0.2">
      <c r="A5" s="14"/>
      <c r="B5" s="14"/>
      <c r="C5" s="9" t="s">
        <v>281</v>
      </c>
      <c r="D5" s="75" t="s">
        <v>83</v>
      </c>
      <c r="E5" s="13">
        <v>44477</v>
      </c>
      <c r="F5" s="75" t="s">
        <v>119</v>
      </c>
      <c r="G5" s="13">
        <v>44477.833333333336</v>
      </c>
      <c r="H5" s="10" t="s">
        <v>120</v>
      </c>
      <c r="I5" s="1">
        <v>40</v>
      </c>
      <c r="J5" s="1">
        <v>23</v>
      </c>
      <c r="K5" s="1">
        <v>16</v>
      </c>
      <c r="L5" s="1">
        <v>10</v>
      </c>
      <c r="M5" s="79">
        <v>3.68</v>
      </c>
      <c r="N5" s="103">
        <v>10</v>
      </c>
      <c r="O5" s="64">
        <v>7000</v>
      </c>
      <c r="P5" s="65">
        <f>Table22457891011234567891011121314[[#This Row],[PEMBULATAN]]*O5</f>
        <v>70000</v>
      </c>
    </row>
    <row r="6" spans="1:16" ht="26.25" customHeight="1" x14ac:dyDescent="0.2">
      <c r="A6" s="14"/>
      <c r="B6" s="14"/>
      <c r="C6" s="95" t="s">
        <v>282</v>
      </c>
      <c r="D6" s="96" t="s">
        <v>83</v>
      </c>
      <c r="E6" s="97">
        <v>44477</v>
      </c>
      <c r="F6" s="98" t="s">
        <v>119</v>
      </c>
      <c r="G6" s="97">
        <v>44477.833333333336</v>
      </c>
      <c r="H6" s="99" t="s">
        <v>120</v>
      </c>
      <c r="I6" s="100">
        <v>50</v>
      </c>
      <c r="J6" s="100">
        <v>42</v>
      </c>
      <c r="K6" s="100">
        <v>83</v>
      </c>
      <c r="L6" s="100">
        <v>14</v>
      </c>
      <c r="M6" s="101">
        <v>43.575000000000003</v>
      </c>
      <c r="N6" s="107">
        <v>43.575000000000003</v>
      </c>
      <c r="O6" s="64">
        <v>7000</v>
      </c>
      <c r="P6" s="65">
        <f>Table22457891011234567891011121314[[#This Row],[PEMBULATAN]]*O6</f>
        <v>305025</v>
      </c>
    </row>
    <row r="7" spans="1:16" ht="26.25" customHeight="1" x14ac:dyDescent="0.2">
      <c r="A7" s="14"/>
      <c r="B7" s="14"/>
      <c r="C7" s="95" t="s">
        <v>283</v>
      </c>
      <c r="D7" s="96" t="s">
        <v>83</v>
      </c>
      <c r="E7" s="97">
        <v>44477</v>
      </c>
      <c r="F7" s="98" t="s">
        <v>119</v>
      </c>
      <c r="G7" s="97">
        <v>44477.833333333336</v>
      </c>
      <c r="H7" s="99" t="s">
        <v>120</v>
      </c>
      <c r="I7" s="100">
        <v>32</v>
      </c>
      <c r="J7" s="100">
        <v>23</v>
      </c>
      <c r="K7" s="100">
        <v>18</v>
      </c>
      <c r="L7" s="100">
        <v>7</v>
      </c>
      <c r="M7" s="101">
        <v>3.3119999999999998</v>
      </c>
      <c r="N7" s="107">
        <v>7</v>
      </c>
      <c r="O7" s="64">
        <v>7000</v>
      </c>
      <c r="P7" s="65">
        <f>Table22457891011234567891011121314[[#This Row],[PEMBULATAN]]*O7</f>
        <v>49000</v>
      </c>
    </row>
    <row r="8" spans="1:16" ht="26.25" customHeight="1" x14ac:dyDescent="0.2">
      <c r="A8" s="14"/>
      <c r="B8" s="14"/>
      <c r="C8" s="95" t="s">
        <v>284</v>
      </c>
      <c r="D8" s="96" t="s">
        <v>83</v>
      </c>
      <c r="E8" s="97">
        <v>44477</v>
      </c>
      <c r="F8" s="98" t="s">
        <v>119</v>
      </c>
      <c r="G8" s="97">
        <v>44477.833333333336</v>
      </c>
      <c r="H8" s="99" t="s">
        <v>120</v>
      </c>
      <c r="I8" s="100">
        <v>32</v>
      </c>
      <c r="J8" s="100">
        <v>23</v>
      </c>
      <c r="K8" s="100">
        <v>18</v>
      </c>
      <c r="L8" s="100">
        <v>7</v>
      </c>
      <c r="M8" s="101">
        <v>3.3119999999999998</v>
      </c>
      <c r="N8" s="107">
        <v>7</v>
      </c>
      <c r="O8" s="64">
        <v>7000</v>
      </c>
      <c r="P8" s="65">
        <f>Table22457891011234567891011121314[[#This Row],[PEMBULATAN]]*O8</f>
        <v>49000</v>
      </c>
    </row>
    <row r="9" spans="1:16" ht="26.25" customHeight="1" x14ac:dyDescent="0.2">
      <c r="A9" s="14"/>
      <c r="B9" s="110"/>
      <c r="C9" s="95" t="s">
        <v>285</v>
      </c>
      <c r="D9" s="96" t="s">
        <v>83</v>
      </c>
      <c r="E9" s="97">
        <v>44477</v>
      </c>
      <c r="F9" s="98" t="s">
        <v>119</v>
      </c>
      <c r="G9" s="97">
        <v>44477.833333333336</v>
      </c>
      <c r="H9" s="99" t="s">
        <v>120</v>
      </c>
      <c r="I9" s="100">
        <v>72</v>
      </c>
      <c r="J9" s="100">
        <v>53</v>
      </c>
      <c r="K9" s="100">
        <v>104</v>
      </c>
      <c r="L9" s="100">
        <v>14</v>
      </c>
      <c r="M9" s="101">
        <v>99.215999999999994</v>
      </c>
      <c r="N9" s="107">
        <v>99.215999999999994</v>
      </c>
      <c r="O9" s="64">
        <v>7000</v>
      </c>
      <c r="P9" s="65">
        <f>Table22457891011234567891011121314[[#This Row],[PEMBULATAN]]*O9</f>
        <v>694512</v>
      </c>
    </row>
    <row r="10" spans="1:16" ht="26.25" customHeight="1" x14ac:dyDescent="0.2">
      <c r="A10" s="14"/>
      <c r="B10" s="14" t="s">
        <v>286</v>
      </c>
      <c r="C10" s="95" t="s">
        <v>287</v>
      </c>
      <c r="D10" s="96" t="s">
        <v>83</v>
      </c>
      <c r="E10" s="97">
        <v>44477</v>
      </c>
      <c r="F10" s="98" t="s">
        <v>119</v>
      </c>
      <c r="G10" s="97">
        <v>44477.833333333336</v>
      </c>
      <c r="H10" s="99" t="s">
        <v>120</v>
      </c>
      <c r="I10" s="100">
        <v>75</v>
      </c>
      <c r="J10" s="100">
        <v>44</v>
      </c>
      <c r="K10" s="100">
        <v>36</v>
      </c>
      <c r="L10" s="100">
        <v>21</v>
      </c>
      <c r="M10" s="101">
        <v>29.7</v>
      </c>
      <c r="N10" s="107">
        <v>29.7</v>
      </c>
      <c r="O10" s="64">
        <v>7000</v>
      </c>
      <c r="P10" s="65">
        <f>Table22457891011234567891011121314[[#This Row],[PEMBULATAN]]*O10</f>
        <v>207900</v>
      </c>
    </row>
    <row r="11" spans="1:16" ht="22.5" customHeight="1" x14ac:dyDescent="0.2">
      <c r="A11" s="143" t="s">
        <v>30</v>
      </c>
      <c r="B11" s="144"/>
      <c r="C11" s="144"/>
      <c r="D11" s="144"/>
      <c r="E11" s="144"/>
      <c r="F11" s="144"/>
      <c r="G11" s="144"/>
      <c r="H11" s="144"/>
      <c r="I11" s="144"/>
      <c r="J11" s="144"/>
      <c r="K11" s="144"/>
      <c r="L11" s="145"/>
      <c r="M11" s="78">
        <f>SUBTOTAL(109,Table22457891011234567891011121314[KG VOLUME])</f>
        <v>191.59399999999999</v>
      </c>
      <c r="N11" s="68">
        <f>SUM(N3:N10)</f>
        <v>213.49099999999999</v>
      </c>
      <c r="O11" s="146">
        <f>SUM(P3:P10)</f>
        <v>1494437</v>
      </c>
      <c r="P11" s="147"/>
    </row>
    <row r="12" spans="1:16" ht="18" customHeight="1" x14ac:dyDescent="0.2">
      <c r="A12" s="85"/>
      <c r="B12" s="56" t="s">
        <v>42</v>
      </c>
      <c r="C12" s="55"/>
      <c r="D12" s="57" t="s">
        <v>43</v>
      </c>
      <c r="E12" s="85"/>
      <c r="F12" s="85"/>
      <c r="G12" s="85"/>
      <c r="H12" s="85"/>
      <c r="I12" s="85"/>
      <c r="J12" s="85"/>
      <c r="K12" s="85"/>
      <c r="L12" s="85"/>
      <c r="M12" s="86"/>
      <c r="N12" s="87" t="s">
        <v>52</v>
      </c>
      <c r="O12" s="88"/>
      <c r="P12" s="88">
        <v>0</v>
      </c>
    </row>
    <row r="13" spans="1:16" ht="18" customHeight="1" thickBot="1" x14ac:dyDescent="0.25">
      <c r="A13" s="85"/>
      <c r="B13" s="56"/>
      <c r="C13" s="55"/>
      <c r="D13" s="57"/>
      <c r="E13" s="85"/>
      <c r="F13" s="85"/>
      <c r="G13" s="85"/>
      <c r="H13" s="85"/>
      <c r="I13" s="85"/>
      <c r="J13" s="85"/>
      <c r="K13" s="85"/>
      <c r="L13" s="85"/>
      <c r="M13" s="86"/>
      <c r="N13" s="89" t="s">
        <v>53</v>
      </c>
      <c r="O13" s="90"/>
      <c r="P13" s="90">
        <f>O11-P12</f>
        <v>1494437</v>
      </c>
    </row>
    <row r="14" spans="1:16" ht="18" customHeight="1" x14ac:dyDescent="0.2">
      <c r="A14" s="11"/>
      <c r="H14" s="63"/>
      <c r="N14" s="62" t="s">
        <v>31</v>
      </c>
      <c r="P14" s="69">
        <f>P13*1%</f>
        <v>14944.37</v>
      </c>
    </row>
    <row r="15" spans="1:16" ht="18" customHeight="1" thickBot="1" x14ac:dyDescent="0.25">
      <c r="A15" s="11"/>
      <c r="H15" s="63"/>
      <c r="N15" s="62" t="s">
        <v>54</v>
      </c>
      <c r="P15" s="71">
        <f>P13*2%</f>
        <v>29888.74</v>
      </c>
    </row>
    <row r="16" spans="1:16" ht="18" customHeight="1" x14ac:dyDescent="0.2">
      <c r="A16" s="11"/>
      <c r="H16" s="63"/>
      <c r="N16" s="66" t="s">
        <v>32</v>
      </c>
      <c r="O16" s="67"/>
      <c r="P16" s="70">
        <f>P13+P14-P15</f>
        <v>1479492.6300000001</v>
      </c>
    </row>
    <row r="18" spans="1:16" x14ac:dyDescent="0.2">
      <c r="A18" s="11"/>
      <c r="H18" s="63"/>
      <c r="P18" s="71"/>
    </row>
    <row r="19" spans="1:16" x14ac:dyDescent="0.2">
      <c r="A19" s="11"/>
      <c r="H19" s="63"/>
      <c r="O19" s="58"/>
      <c r="P19" s="71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</sheetData>
  <mergeCells count="2">
    <mergeCell ref="A11:L11"/>
    <mergeCell ref="O11:P11"/>
  </mergeCells>
  <conditionalFormatting sqref="B3">
    <cfRule type="duplicateValues" dxfId="717" priority="2"/>
  </conditionalFormatting>
  <conditionalFormatting sqref="B4">
    <cfRule type="duplicateValues" dxfId="716" priority="1"/>
  </conditionalFormatting>
  <conditionalFormatting sqref="B5:B10">
    <cfRule type="duplicateValues" dxfId="715" priority="4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8"/>
  <sheetViews>
    <sheetView zoomScale="110" zoomScaleNormal="110" workbookViewId="0">
      <pane xSplit="3" ySplit="2" topLeftCell="D22" activePane="bottomRight" state="frozen"/>
      <selection pane="topRight" activeCell="B1" sqref="B1"/>
      <selection pane="bottomLeft" activeCell="A3" sqref="A3"/>
      <selection pane="bottomRight" activeCell="O29" sqref="O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9.25" customHeight="1" x14ac:dyDescent="0.2">
      <c r="A3" s="82">
        <v>402183</v>
      </c>
      <c r="B3" s="73" t="s">
        <v>288</v>
      </c>
      <c r="C3" s="9" t="s">
        <v>289</v>
      </c>
      <c r="D3" s="75" t="s">
        <v>83</v>
      </c>
      <c r="E3" s="13">
        <v>44478</v>
      </c>
      <c r="F3" s="75" t="s">
        <v>119</v>
      </c>
      <c r="G3" s="13">
        <v>44480.625</v>
      </c>
      <c r="H3" s="10" t="s">
        <v>290</v>
      </c>
      <c r="I3" s="1">
        <v>117</v>
      </c>
      <c r="J3" s="1">
        <v>58</v>
      </c>
      <c r="K3" s="1">
        <v>19</v>
      </c>
      <c r="L3" s="1">
        <v>6</v>
      </c>
      <c r="M3" s="79">
        <v>32.233499999999999</v>
      </c>
      <c r="N3" s="103">
        <v>32.233499999999999</v>
      </c>
      <c r="O3" s="64">
        <v>7000</v>
      </c>
      <c r="P3" s="65">
        <f>Table2245789101123456789101112131415[[#This Row],[PEMBULATAN]]*O3</f>
        <v>225634.5</v>
      </c>
    </row>
    <row r="4" spans="1:16" ht="29.25" customHeight="1" x14ac:dyDescent="0.2">
      <c r="A4" s="14"/>
      <c r="B4" s="74"/>
      <c r="C4" s="9" t="s">
        <v>291</v>
      </c>
      <c r="D4" s="75" t="s">
        <v>83</v>
      </c>
      <c r="E4" s="13">
        <v>44478</v>
      </c>
      <c r="F4" s="75" t="s">
        <v>119</v>
      </c>
      <c r="G4" s="13">
        <v>44480.625</v>
      </c>
      <c r="H4" s="10" t="s">
        <v>290</v>
      </c>
      <c r="I4" s="1">
        <v>75</v>
      </c>
      <c r="J4" s="1">
        <v>40</v>
      </c>
      <c r="K4" s="1">
        <v>19</v>
      </c>
      <c r="L4" s="1">
        <v>6</v>
      </c>
      <c r="M4" s="79">
        <v>14.25</v>
      </c>
      <c r="N4" s="103">
        <v>14.25</v>
      </c>
      <c r="O4" s="64">
        <v>7000</v>
      </c>
      <c r="P4" s="65">
        <f>Table2245789101123456789101112131415[[#This Row],[PEMBULATAN]]*O4</f>
        <v>99750</v>
      </c>
    </row>
    <row r="5" spans="1:16" ht="29.25" customHeight="1" x14ac:dyDescent="0.2">
      <c r="A5" s="14"/>
      <c r="B5" s="74"/>
      <c r="C5" s="95" t="s">
        <v>292</v>
      </c>
      <c r="D5" s="96" t="s">
        <v>83</v>
      </c>
      <c r="E5" s="97">
        <v>44478</v>
      </c>
      <c r="F5" s="98" t="s">
        <v>119</v>
      </c>
      <c r="G5" s="97">
        <v>44480.625</v>
      </c>
      <c r="H5" s="99" t="s">
        <v>290</v>
      </c>
      <c r="I5" s="100">
        <v>94</v>
      </c>
      <c r="J5" s="100">
        <v>56</v>
      </c>
      <c r="K5" s="100">
        <v>37</v>
      </c>
      <c r="L5" s="100">
        <v>26</v>
      </c>
      <c r="M5" s="101">
        <v>48.692</v>
      </c>
      <c r="N5" s="107">
        <v>48.692</v>
      </c>
      <c r="O5" s="64">
        <v>7000</v>
      </c>
      <c r="P5" s="65">
        <f>Table2245789101123456789101112131415[[#This Row],[PEMBULATAN]]*O5</f>
        <v>340844</v>
      </c>
    </row>
    <row r="6" spans="1:16" ht="29.25" customHeight="1" x14ac:dyDescent="0.2">
      <c r="A6" s="14"/>
      <c r="B6" s="74"/>
      <c r="C6" s="95" t="s">
        <v>293</v>
      </c>
      <c r="D6" s="96" t="s">
        <v>83</v>
      </c>
      <c r="E6" s="97">
        <v>44478</v>
      </c>
      <c r="F6" s="98" t="s">
        <v>119</v>
      </c>
      <c r="G6" s="97">
        <v>44480.625</v>
      </c>
      <c r="H6" s="99" t="s">
        <v>290</v>
      </c>
      <c r="I6" s="100">
        <v>79</v>
      </c>
      <c r="J6" s="100">
        <v>38</v>
      </c>
      <c r="K6" s="100">
        <v>30</v>
      </c>
      <c r="L6" s="100">
        <v>10</v>
      </c>
      <c r="M6" s="101">
        <v>22.515000000000001</v>
      </c>
      <c r="N6" s="107">
        <v>22.515000000000001</v>
      </c>
      <c r="O6" s="64">
        <v>7000</v>
      </c>
      <c r="P6" s="65">
        <f>Table2245789101123456789101112131415[[#This Row],[PEMBULATAN]]*O6</f>
        <v>157605</v>
      </c>
    </row>
    <row r="7" spans="1:16" ht="29.25" customHeight="1" x14ac:dyDescent="0.2">
      <c r="A7" s="14"/>
      <c r="B7" s="74"/>
      <c r="C7" s="95" t="s">
        <v>294</v>
      </c>
      <c r="D7" s="96" t="s">
        <v>83</v>
      </c>
      <c r="E7" s="97">
        <v>44478</v>
      </c>
      <c r="F7" s="98" t="s">
        <v>119</v>
      </c>
      <c r="G7" s="97">
        <v>44480.625</v>
      </c>
      <c r="H7" s="99" t="s">
        <v>290</v>
      </c>
      <c r="I7" s="100">
        <v>50</v>
      </c>
      <c r="J7" s="100">
        <v>35</v>
      </c>
      <c r="K7" s="100">
        <v>25</v>
      </c>
      <c r="L7" s="100">
        <v>23</v>
      </c>
      <c r="M7" s="101">
        <v>10.9375</v>
      </c>
      <c r="N7" s="107">
        <v>23</v>
      </c>
      <c r="O7" s="64">
        <v>7000</v>
      </c>
      <c r="P7" s="65">
        <f>Table2245789101123456789101112131415[[#This Row],[PEMBULATAN]]*O7</f>
        <v>161000</v>
      </c>
    </row>
    <row r="8" spans="1:16" ht="29.25" customHeight="1" x14ac:dyDescent="0.2">
      <c r="A8" s="14"/>
      <c r="B8" s="74"/>
      <c r="C8" s="95" t="s">
        <v>295</v>
      </c>
      <c r="D8" s="96" t="s">
        <v>83</v>
      </c>
      <c r="E8" s="97">
        <v>44478</v>
      </c>
      <c r="F8" s="98" t="s">
        <v>119</v>
      </c>
      <c r="G8" s="97">
        <v>44480.625</v>
      </c>
      <c r="H8" s="99" t="s">
        <v>290</v>
      </c>
      <c r="I8" s="100">
        <v>52</v>
      </c>
      <c r="J8" s="100">
        <v>45</v>
      </c>
      <c r="K8" s="100">
        <v>85</v>
      </c>
      <c r="L8" s="100">
        <v>30</v>
      </c>
      <c r="M8" s="101">
        <v>49.725000000000001</v>
      </c>
      <c r="N8" s="107">
        <v>49.725000000000001</v>
      </c>
      <c r="O8" s="64">
        <v>7000</v>
      </c>
      <c r="P8" s="65">
        <f>Table2245789101123456789101112131415[[#This Row],[PEMBULATAN]]*O8</f>
        <v>348075</v>
      </c>
    </row>
    <row r="9" spans="1:16" ht="29.25" customHeight="1" x14ac:dyDescent="0.2">
      <c r="A9" s="14"/>
      <c r="B9" s="74"/>
      <c r="C9" s="95" t="s">
        <v>296</v>
      </c>
      <c r="D9" s="96" t="s">
        <v>83</v>
      </c>
      <c r="E9" s="97">
        <v>44478</v>
      </c>
      <c r="F9" s="98" t="s">
        <v>119</v>
      </c>
      <c r="G9" s="97">
        <v>44480.625</v>
      </c>
      <c r="H9" s="99" t="s">
        <v>290</v>
      </c>
      <c r="I9" s="100">
        <v>50</v>
      </c>
      <c r="J9" s="100">
        <v>36</v>
      </c>
      <c r="K9" s="100">
        <v>28</v>
      </c>
      <c r="L9" s="100">
        <v>5</v>
      </c>
      <c r="M9" s="101">
        <v>12.6</v>
      </c>
      <c r="N9" s="107">
        <v>12.6</v>
      </c>
      <c r="O9" s="64">
        <v>7000</v>
      </c>
      <c r="P9" s="65">
        <f>Table2245789101123456789101112131415[[#This Row],[PEMBULATAN]]*O9</f>
        <v>88200</v>
      </c>
    </row>
    <row r="10" spans="1:16" ht="29.25" customHeight="1" x14ac:dyDescent="0.2">
      <c r="A10" s="14"/>
      <c r="B10" s="74"/>
      <c r="C10" s="95" t="s">
        <v>297</v>
      </c>
      <c r="D10" s="96" t="s">
        <v>83</v>
      </c>
      <c r="E10" s="97">
        <v>44478</v>
      </c>
      <c r="F10" s="98" t="s">
        <v>119</v>
      </c>
      <c r="G10" s="97">
        <v>44480.625</v>
      </c>
      <c r="H10" s="99" t="s">
        <v>290</v>
      </c>
      <c r="I10" s="100">
        <v>44</v>
      </c>
      <c r="J10" s="100">
        <v>30</v>
      </c>
      <c r="K10" s="100">
        <v>24</v>
      </c>
      <c r="L10" s="100">
        <v>12</v>
      </c>
      <c r="M10" s="101">
        <v>7.92</v>
      </c>
      <c r="N10" s="107">
        <v>12</v>
      </c>
      <c r="O10" s="64">
        <v>7000</v>
      </c>
      <c r="P10" s="65">
        <f>Table2245789101123456789101112131415[[#This Row],[PEMBULATAN]]*O10</f>
        <v>84000</v>
      </c>
    </row>
    <row r="11" spans="1:16" ht="29.25" customHeight="1" x14ac:dyDescent="0.2">
      <c r="A11" s="14"/>
      <c r="B11" s="74"/>
      <c r="C11" s="95" t="s">
        <v>298</v>
      </c>
      <c r="D11" s="96" t="s">
        <v>83</v>
      </c>
      <c r="E11" s="97">
        <v>44478</v>
      </c>
      <c r="F11" s="98" t="s">
        <v>119</v>
      </c>
      <c r="G11" s="97">
        <v>44480.625</v>
      </c>
      <c r="H11" s="99" t="s">
        <v>290</v>
      </c>
      <c r="I11" s="100">
        <v>66</v>
      </c>
      <c r="J11" s="100">
        <v>44</v>
      </c>
      <c r="K11" s="100">
        <v>65</v>
      </c>
      <c r="L11" s="100">
        <v>31</v>
      </c>
      <c r="M11" s="101">
        <v>47.19</v>
      </c>
      <c r="N11" s="107">
        <v>47.19</v>
      </c>
      <c r="O11" s="64">
        <v>7000</v>
      </c>
      <c r="P11" s="65">
        <f>Table2245789101123456789101112131415[[#This Row],[PEMBULATAN]]*O11</f>
        <v>330330</v>
      </c>
    </row>
    <row r="12" spans="1:16" ht="29.25" customHeight="1" x14ac:dyDescent="0.2">
      <c r="A12" s="14"/>
      <c r="B12" s="74"/>
      <c r="C12" s="95" t="s">
        <v>299</v>
      </c>
      <c r="D12" s="96" t="s">
        <v>83</v>
      </c>
      <c r="E12" s="97">
        <v>44478</v>
      </c>
      <c r="F12" s="98" t="s">
        <v>119</v>
      </c>
      <c r="G12" s="97">
        <v>44480.625</v>
      </c>
      <c r="H12" s="99" t="s">
        <v>290</v>
      </c>
      <c r="I12" s="100">
        <v>63</v>
      </c>
      <c r="J12" s="100">
        <v>46</v>
      </c>
      <c r="K12" s="100">
        <v>21</v>
      </c>
      <c r="L12" s="100">
        <v>5</v>
      </c>
      <c r="M12" s="101">
        <v>15.214499999999999</v>
      </c>
      <c r="N12" s="107">
        <v>15.214499999999999</v>
      </c>
      <c r="O12" s="64">
        <v>7000</v>
      </c>
      <c r="P12" s="65">
        <f>Table2245789101123456789101112131415[[#This Row],[PEMBULATAN]]*O12</f>
        <v>106501.5</v>
      </c>
    </row>
    <row r="13" spans="1:16" ht="29.25" customHeight="1" x14ac:dyDescent="0.2">
      <c r="A13" s="14"/>
      <c r="B13" s="74"/>
      <c r="C13" s="95" t="s">
        <v>300</v>
      </c>
      <c r="D13" s="96" t="s">
        <v>83</v>
      </c>
      <c r="E13" s="97">
        <v>44478</v>
      </c>
      <c r="F13" s="98" t="s">
        <v>119</v>
      </c>
      <c r="G13" s="97">
        <v>44480.625</v>
      </c>
      <c r="H13" s="99" t="s">
        <v>290</v>
      </c>
      <c r="I13" s="100">
        <v>46</v>
      </c>
      <c r="J13" s="100">
        <v>19</v>
      </c>
      <c r="K13" s="100">
        <v>11</v>
      </c>
      <c r="L13" s="100">
        <v>12</v>
      </c>
      <c r="M13" s="101">
        <v>2.4035000000000002</v>
      </c>
      <c r="N13" s="107">
        <v>12</v>
      </c>
      <c r="O13" s="64">
        <v>7000</v>
      </c>
      <c r="P13" s="65">
        <f>Table2245789101123456789101112131415[[#This Row],[PEMBULATAN]]*O13</f>
        <v>84000</v>
      </c>
    </row>
    <row r="14" spans="1:16" ht="29.25" customHeight="1" x14ac:dyDescent="0.2">
      <c r="A14" s="14"/>
      <c r="B14" s="74"/>
      <c r="C14" s="95" t="s">
        <v>301</v>
      </c>
      <c r="D14" s="96" t="s">
        <v>83</v>
      </c>
      <c r="E14" s="97">
        <v>44478</v>
      </c>
      <c r="F14" s="98" t="s">
        <v>119</v>
      </c>
      <c r="G14" s="97">
        <v>44480.625</v>
      </c>
      <c r="H14" s="99" t="s">
        <v>290</v>
      </c>
      <c r="I14" s="100">
        <v>74</v>
      </c>
      <c r="J14" s="100">
        <v>32</v>
      </c>
      <c r="K14" s="100">
        <v>21</v>
      </c>
      <c r="L14" s="100">
        <v>7</v>
      </c>
      <c r="M14" s="101">
        <v>12.432</v>
      </c>
      <c r="N14" s="107">
        <v>13</v>
      </c>
      <c r="O14" s="64">
        <v>7000</v>
      </c>
      <c r="P14" s="65">
        <f>Table2245789101123456789101112131415[[#This Row],[PEMBULATAN]]*O14</f>
        <v>91000</v>
      </c>
    </row>
    <row r="15" spans="1:16" ht="29.25" customHeight="1" x14ac:dyDescent="0.2">
      <c r="A15" s="14"/>
      <c r="B15" s="74"/>
      <c r="C15" s="95" t="s">
        <v>302</v>
      </c>
      <c r="D15" s="96" t="s">
        <v>83</v>
      </c>
      <c r="E15" s="97">
        <v>44478</v>
      </c>
      <c r="F15" s="98" t="s">
        <v>119</v>
      </c>
      <c r="G15" s="97">
        <v>44480.625</v>
      </c>
      <c r="H15" s="99" t="s">
        <v>290</v>
      </c>
      <c r="I15" s="100">
        <v>48</v>
      </c>
      <c r="J15" s="100">
        <v>42</v>
      </c>
      <c r="K15" s="100">
        <v>18</v>
      </c>
      <c r="L15" s="100">
        <v>4</v>
      </c>
      <c r="M15" s="101">
        <v>9.0719999999999992</v>
      </c>
      <c r="N15" s="107">
        <v>9.0719999999999992</v>
      </c>
      <c r="O15" s="64">
        <v>7000</v>
      </c>
      <c r="P15" s="65">
        <f>Table2245789101123456789101112131415[[#This Row],[PEMBULATAN]]*O15</f>
        <v>63503.999999999993</v>
      </c>
    </row>
    <row r="16" spans="1:16" ht="29.25" customHeight="1" x14ac:dyDescent="0.2">
      <c r="A16" s="14"/>
      <c r="B16" s="74"/>
      <c r="C16" s="95" t="s">
        <v>303</v>
      </c>
      <c r="D16" s="96" t="s">
        <v>83</v>
      </c>
      <c r="E16" s="97">
        <v>44478</v>
      </c>
      <c r="F16" s="98" t="s">
        <v>119</v>
      </c>
      <c r="G16" s="97">
        <v>44480.625</v>
      </c>
      <c r="H16" s="99" t="s">
        <v>290</v>
      </c>
      <c r="I16" s="100">
        <v>80</v>
      </c>
      <c r="J16" s="100">
        <v>50</v>
      </c>
      <c r="K16" s="100">
        <v>20</v>
      </c>
      <c r="L16" s="100">
        <v>9</v>
      </c>
      <c r="M16" s="101">
        <v>20</v>
      </c>
      <c r="N16" s="107">
        <v>20</v>
      </c>
      <c r="O16" s="64">
        <v>7000</v>
      </c>
      <c r="P16" s="65">
        <f>Table2245789101123456789101112131415[[#This Row],[PEMBULATAN]]*O16</f>
        <v>140000</v>
      </c>
    </row>
    <row r="17" spans="1:16" ht="29.25" customHeight="1" x14ac:dyDescent="0.2">
      <c r="A17" s="14"/>
      <c r="B17" s="74"/>
      <c r="C17" s="95" t="s">
        <v>304</v>
      </c>
      <c r="D17" s="96" t="s">
        <v>83</v>
      </c>
      <c r="E17" s="97">
        <v>44478</v>
      </c>
      <c r="F17" s="98" t="s">
        <v>119</v>
      </c>
      <c r="G17" s="97">
        <v>44480.625</v>
      </c>
      <c r="H17" s="99" t="s">
        <v>290</v>
      </c>
      <c r="I17" s="100">
        <v>48</v>
      </c>
      <c r="J17" s="100">
        <v>35</v>
      </c>
      <c r="K17" s="100">
        <v>33</v>
      </c>
      <c r="L17" s="100">
        <v>17</v>
      </c>
      <c r="M17" s="101">
        <v>13.86</v>
      </c>
      <c r="N17" s="107">
        <v>17</v>
      </c>
      <c r="O17" s="64">
        <v>7000</v>
      </c>
      <c r="P17" s="65">
        <f>Table2245789101123456789101112131415[[#This Row],[PEMBULATAN]]*O17</f>
        <v>119000</v>
      </c>
    </row>
    <row r="18" spans="1:16" ht="29.25" customHeight="1" x14ac:dyDescent="0.2">
      <c r="A18" s="14"/>
      <c r="B18" s="74"/>
      <c r="C18" s="95" t="s">
        <v>305</v>
      </c>
      <c r="D18" s="96" t="s">
        <v>83</v>
      </c>
      <c r="E18" s="97">
        <v>44478</v>
      </c>
      <c r="F18" s="98" t="s">
        <v>119</v>
      </c>
      <c r="G18" s="97">
        <v>44480.625</v>
      </c>
      <c r="H18" s="99" t="s">
        <v>290</v>
      </c>
      <c r="I18" s="100">
        <v>74</v>
      </c>
      <c r="J18" s="100">
        <v>42</v>
      </c>
      <c r="K18" s="100">
        <v>74</v>
      </c>
      <c r="L18" s="100">
        <v>40</v>
      </c>
      <c r="M18" s="101">
        <v>57.497999999999998</v>
      </c>
      <c r="N18" s="107">
        <v>57.497999999999998</v>
      </c>
      <c r="O18" s="64">
        <v>7000</v>
      </c>
      <c r="P18" s="65">
        <f>Table2245789101123456789101112131415[[#This Row],[PEMBULATAN]]*O18</f>
        <v>402486</v>
      </c>
    </row>
    <row r="19" spans="1:16" ht="29.25" customHeight="1" x14ac:dyDescent="0.2">
      <c r="A19" s="14"/>
      <c r="B19" s="74"/>
      <c r="C19" s="95" t="s">
        <v>306</v>
      </c>
      <c r="D19" s="96" t="s">
        <v>83</v>
      </c>
      <c r="E19" s="97">
        <v>44478</v>
      </c>
      <c r="F19" s="98" t="s">
        <v>119</v>
      </c>
      <c r="G19" s="97">
        <v>44480.625</v>
      </c>
      <c r="H19" s="99" t="s">
        <v>290</v>
      </c>
      <c r="I19" s="100">
        <v>37</v>
      </c>
      <c r="J19" s="100">
        <v>35</v>
      </c>
      <c r="K19" s="100">
        <v>26</v>
      </c>
      <c r="L19" s="100">
        <v>5</v>
      </c>
      <c r="M19" s="101">
        <v>8.4175000000000004</v>
      </c>
      <c r="N19" s="107">
        <v>9</v>
      </c>
      <c r="O19" s="64">
        <v>7000</v>
      </c>
      <c r="P19" s="65">
        <f>Table2245789101123456789101112131415[[#This Row],[PEMBULATAN]]*O19</f>
        <v>63000</v>
      </c>
    </row>
    <row r="20" spans="1:16" ht="29.25" customHeight="1" x14ac:dyDescent="0.2">
      <c r="A20" s="14"/>
      <c r="B20" s="74"/>
      <c r="C20" s="95" t="s">
        <v>307</v>
      </c>
      <c r="D20" s="96" t="s">
        <v>83</v>
      </c>
      <c r="E20" s="97">
        <v>44478</v>
      </c>
      <c r="F20" s="98" t="s">
        <v>119</v>
      </c>
      <c r="G20" s="97">
        <v>44480.625</v>
      </c>
      <c r="H20" s="99" t="s">
        <v>290</v>
      </c>
      <c r="I20" s="100">
        <v>33</v>
      </c>
      <c r="J20" s="100">
        <v>27</v>
      </c>
      <c r="K20" s="100">
        <v>27</v>
      </c>
      <c r="L20" s="100">
        <v>10</v>
      </c>
      <c r="M20" s="101">
        <v>6.0142499999999997</v>
      </c>
      <c r="N20" s="107">
        <v>10</v>
      </c>
      <c r="O20" s="64">
        <v>7000</v>
      </c>
      <c r="P20" s="65">
        <f>Table2245789101123456789101112131415[[#This Row],[PEMBULATAN]]*O20</f>
        <v>70000</v>
      </c>
    </row>
    <row r="21" spans="1:16" ht="29.25" customHeight="1" x14ac:dyDescent="0.2">
      <c r="A21" s="14"/>
      <c r="B21" s="74"/>
      <c r="C21" s="95" t="s">
        <v>308</v>
      </c>
      <c r="D21" s="96" t="s">
        <v>83</v>
      </c>
      <c r="E21" s="97">
        <v>44478</v>
      </c>
      <c r="F21" s="98" t="s">
        <v>119</v>
      </c>
      <c r="G21" s="97">
        <v>44480.625</v>
      </c>
      <c r="H21" s="99" t="s">
        <v>290</v>
      </c>
      <c r="I21" s="100">
        <v>36</v>
      </c>
      <c r="J21" s="100">
        <v>33</v>
      </c>
      <c r="K21" s="100">
        <v>32</v>
      </c>
      <c r="L21" s="100">
        <v>6</v>
      </c>
      <c r="M21" s="101">
        <v>9.5039999999999996</v>
      </c>
      <c r="N21" s="107">
        <v>9.5039999999999996</v>
      </c>
      <c r="O21" s="64">
        <v>7000</v>
      </c>
      <c r="P21" s="65">
        <f>Table2245789101123456789101112131415[[#This Row],[PEMBULATAN]]*O21</f>
        <v>66528</v>
      </c>
    </row>
    <row r="22" spans="1:16" ht="29.25" customHeight="1" x14ac:dyDescent="0.2">
      <c r="A22" s="14"/>
      <c r="B22" s="74"/>
      <c r="C22" s="95" t="s">
        <v>309</v>
      </c>
      <c r="D22" s="96" t="s">
        <v>83</v>
      </c>
      <c r="E22" s="97">
        <v>44478</v>
      </c>
      <c r="F22" s="98" t="s">
        <v>119</v>
      </c>
      <c r="G22" s="97">
        <v>44480.625</v>
      </c>
      <c r="H22" s="99" t="s">
        <v>290</v>
      </c>
      <c r="I22" s="100">
        <v>45</v>
      </c>
      <c r="J22" s="100">
        <v>40</v>
      </c>
      <c r="K22" s="100">
        <v>38</v>
      </c>
      <c r="L22" s="100">
        <v>30</v>
      </c>
      <c r="M22" s="101">
        <v>17.100000000000001</v>
      </c>
      <c r="N22" s="107">
        <v>30</v>
      </c>
      <c r="O22" s="64">
        <v>7000</v>
      </c>
      <c r="P22" s="65">
        <f>Table2245789101123456789101112131415[[#This Row],[PEMBULATAN]]*O22</f>
        <v>210000</v>
      </c>
    </row>
    <row r="23" spans="1:16" ht="29.25" customHeight="1" x14ac:dyDescent="0.2">
      <c r="A23" s="14"/>
      <c r="B23" s="74"/>
      <c r="C23" s="95" t="s">
        <v>310</v>
      </c>
      <c r="D23" s="96" t="s">
        <v>83</v>
      </c>
      <c r="E23" s="97">
        <v>44478</v>
      </c>
      <c r="F23" s="98" t="s">
        <v>119</v>
      </c>
      <c r="G23" s="97">
        <v>44480.625</v>
      </c>
      <c r="H23" s="99" t="s">
        <v>290</v>
      </c>
      <c r="I23" s="100">
        <v>48</v>
      </c>
      <c r="J23" s="100">
        <v>38</v>
      </c>
      <c r="K23" s="100">
        <v>28</v>
      </c>
      <c r="L23" s="100">
        <v>1</v>
      </c>
      <c r="M23" s="101">
        <v>12.768000000000001</v>
      </c>
      <c r="N23" s="107">
        <v>12.768000000000001</v>
      </c>
      <c r="O23" s="64">
        <v>7000</v>
      </c>
      <c r="P23" s="65">
        <f>Table2245789101123456789101112131415[[#This Row],[PEMBULATAN]]*O23</f>
        <v>89376</v>
      </c>
    </row>
    <row r="24" spans="1:16" ht="29.25" customHeight="1" x14ac:dyDescent="0.2">
      <c r="A24" s="14"/>
      <c r="B24" s="108"/>
      <c r="C24" s="95" t="s">
        <v>311</v>
      </c>
      <c r="D24" s="96" t="s">
        <v>83</v>
      </c>
      <c r="E24" s="97">
        <v>44478</v>
      </c>
      <c r="F24" s="98" t="s">
        <v>119</v>
      </c>
      <c r="G24" s="97">
        <v>44480.625</v>
      </c>
      <c r="H24" s="99" t="s">
        <v>290</v>
      </c>
      <c r="I24" s="100">
        <v>80</v>
      </c>
      <c r="J24" s="100">
        <v>52</v>
      </c>
      <c r="K24" s="100">
        <v>24</v>
      </c>
      <c r="L24" s="100">
        <v>16</v>
      </c>
      <c r="M24" s="101">
        <v>24.96</v>
      </c>
      <c r="N24" s="107">
        <v>24.96</v>
      </c>
      <c r="O24" s="64">
        <v>7000</v>
      </c>
      <c r="P24" s="65">
        <f>Table2245789101123456789101112131415[[#This Row],[PEMBULATAN]]*O24</f>
        <v>174720</v>
      </c>
    </row>
    <row r="25" spans="1:16" ht="29.25" customHeight="1" x14ac:dyDescent="0.2">
      <c r="A25" s="14"/>
      <c r="B25" s="74" t="s">
        <v>312</v>
      </c>
      <c r="C25" s="95" t="s">
        <v>313</v>
      </c>
      <c r="D25" s="96" t="s">
        <v>83</v>
      </c>
      <c r="E25" s="97">
        <v>44478</v>
      </c>
      <c r="F25" s="98" t="s">
        <v>119</v>
      </c>
      <c r="G25" s="97">
        <v>44480.625</v>
      </c>
      <c r="H25" s="99" t="s">
        <v>290</v>
      </c>
      <c r="I25" s="100">
        <v>45</v>
      </c>
      <c r="J25" s="100">
        <v>26</v>
      </c>
      <c r="K25" s="100">
        <v>18</v>
      </c>
      <c r="L25" s="100">
        <v>6</v>
      </c>
      <c r="M25" s="101">
        <v>5.2649999999999997</v>
      </c>
      <c r="N25" s="107">
        <v>6</v>
      </c>
      <c r="O25" s="64">
        <v>7000</v>
      </c>
      <c r="P25" s="65">
        <f>Table2245789101123456789101112131415[[#This Row],[PEMBULATAN]]*O25</f>
        <v>42000</v>
      </c>
    </row>
    <row r="26" spans="1:16" ht="29.25" customHeight="1" x14ac:dyDescent="0.2">
      <c r="A26" s="14"/>
      <c r="B26" s="74"/>
      <c r="C26" s="95" t="s">
        <v>314</v>
      </c>
      <c r="D26" s="96" t="s">
        <v>83</v>
      </c>
      <c r="E26" s="97">
        <v>44478</v>
      </c>
      <c r="F26" s="98" t="s">
        <v>119</v>
      </c>
      <c r="G26" s="97">
        <v>44480.625</v>
      </c>
      <c r="H26" s="99" t="s">
        <v>290</v>
      </c>
      <c r="I26" s="100">
        <v>104</v>
      </c>
      <c r="J26" s="100">
        <v>38</v>
      </c>
      <c r="K26" s="100">
        <v>28</v>
      </c>
      <c r="L26" s="100">
        <v>9</v>
      </c>
      <c r="M26" s="101">
        <v>27.664000000000001</v>
      </c>
      <c r="N26" s="107">
        <v>27.664000000000001</v>
      </c>
      <c r="O26" s="64">
        <v>7000</v>
      </c>
      <c r="P26" s="65">
        <f>Table2245789101123456789101112131415[[#This Row],[PEMBULATAN]]*O26</f>
        <v>193648</v>
      </c>
    </row>
    <row r="27" spans="1:16" ht="29.25" customHeight="1" x14ac:dyDescent="0.2">
      <c r="A27" s="14"/>
      <c r="B27" s="74"/>
      <c r="C27" s="95" t="s">
        <v>315</v>
      </c>
      <c r="D27" s="96" t="s">
        <v>83</v>
      </c>
      <c r="E27" s="97">
        <v>44478</v>
      </c>
      <c r="F27" s="98" t="s">
        <v>119</v>
      </c>
      <c r="G27" s="97">
        <v>44480.625</v>
      </c>
      <c r="H27" s="99" t="s">
        <v>290</v>
      </c>
      <c r="I27" s="100">
        <v>45</v>
      </c>
      <c r="J27" s="100">
        <v>34</v>
      </c>
      <c r="K27" s="100">
        <v>28</v>
      </c>
      <c r="L27" s="100">
        <v>27</v>
      </c>
      <c r="M27" s="101">
        <v>10.71</v>
      </c>
      <c r="N27" s="107">
        <v>27</v>
      </c>
      <c r="O27" s="64">
        <v>7000</v>
      </c>
      <c r="P27" s="65">
        <f>Table2245789101123456789101112131415[[#This Row],[PEMBULATAN]]*O27</f>
        <v>189000</v>
      </c>
    </row>
    <row r="28" spans="1:16" ht="22.5" customHeight="1" x14ac:dyDescent="0.2">
      <c r="A28" s="143" t="s">
        <v>30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5"/>
      <c r="M28" s="78">
        <f>SUBTOTAL(109,Table2245789101123456789101112131415[KG VOLUME])</f>
        <v>498.94574999999998</v>
      </c>
      <c r="N28" s="68">
        <f>SUM(N3:N27)</f>
        <v>562.88599999999997</v>
      </c>
      <c r="O28" s="146">
        <f>SUM(P3:P27)</f>
        <v>3940202</v>
      </c>
      <c r="P28" s="147"/>
    </row>
    <row r="29" spans="1:16" ht="18" customHeight="1" x14ac:dyDescent="0.2">
      <c r="A29" s="85"/>
      <c r="B29" s="56" t="s">
        <v>42</v>
      </c>
      <c r="C29" s="55"/>
      <c r="D29" s="57" t="s">
        <v>43</v>
      </c>
      <c r="E29" s="85"/>
      <c r="F29" s="85"/>
      <c r="G29" s="85"/>
      <c r="H29" s="85"/>
      <c r="I29" s="85"/>
      <c r="J29" s="85"/>
      <c r="K29" s="85"/>
      <c r="L29" s="85"/>
      <c r="M29" s="86"/>
      <c r="N29" s="87" t="s">
        <v>52</v>
      </c>
      <c r="O29" s="88"/>
      <c r="P29" s="88">
        <v>0</v>
      </c>
    </row>
    <row r="30" spans="1:16" ht="18" customHeight="1" thickBot="1" x14ac:dyDescent="0.25">
      <c r="A30" s="85"/>
      <c r="B30" s="56"/>
      <c r="C30" s="55"/>
      <c r="D30" s="57"/>
      <c r="E30" s="85"/>
      <c r="F30" s="85"/>
      <c r="G30" s="85"/>
      <c r="H30" s="85"/>
      <c r="I30" s="85"/>
      <c r="J30" s="85"/>
      <c r="K30" s="85"/>
      <c r="L30" s="85"/>
      <c r="M30" s="86"/>
      <c r="N30" s="89" t="s">
        <v>53</v>
      </c>
      <c r="O30" s="90"/>
      <c r="P30" s="90">
        <f>O28-P29</f>
        <v>3940202</v>
      </c>
    </row>
    <row r="31" spans="1:16" ht="18" customHeight="1" x14ac:dyDescent="0.2">
      <c r="A31" s="11"/>
      <c r="H31" s="63"/>
      <c r="N31" s="62" t="s">
        <v>31</v>
      </c>
      <c r="P31" s="69">
        <f>P30*1%</f>
        <v>39402.020000000004</v>
      </c>
    </row>
    <row r="32" spans="1:16" ht="18" customHeight="1" thickBot="1" x14ac:dyDescent="0.25">
      <c r="A32" s="11"/>
      <c r="H32" s="63"/>
      <c r="N32" s="62" t="s">
        <v>54</v>
      </c>
      <c r="P32" s="71">
        <f>P30*2%</f>
        <v>78804.040000000008</v>
      </c>
    </row>
    <row r="33" spans="1:16" ht="18" customHeight="1" x14ac:dyDescent="0.2">
      <c r="A33" s="11"/>
      <c r="H33" s="63"/>
      <c r="N33" s="66" t="s">
        <v>32</v>
      </c>
      <c r="O33" s="67"/>
      <c r="P33" s="70">
        <f>P30+P31-P32</f>
        <v>3900799.98</v>
      </c>
    </row>
    <row r="35" spans="1:16" x14ac:dyDescent="0.2">
      <c r="A35" s="11"/>
      <c r="H35" s="63"/>
      <c r="P35" s="71"/>
    </row>
    <row r="36" spans="1:16" x14ac:dyDescent="0.2">
      <c r="A36" s="11"/>
      <c r="H36" s="63"/>
      <c r="O36" s="58"/>
      <c r="P36" s="71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</sheetData>
  <mergeCells count="2">
    <mergeCell ref="A28:L28"/>
    <mergeCell ref="O28:P28"/>
  </mergeCells>
  <conditionalFormatting sqref="B3">
    <cfRule type="duplicateValues" dxfId="699" priority="2"/>
  </conditionalFormatting>
  <conditionalFormatting sqref="B4:B27">
    <cfRule type="duplicateValues" dxfId="698" priority="4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0"/>
  <sheetViews>
    <sheetView zoomScale="110" zoomScaleNormal="110" workbookViewId="0">
      <pane xSplit="3" ySplit="2" topLeftCell="D23" activePane="bottomRight" state="frozen"/>
      <selection pane="topRight" activeCell="B1" sqref="B1"/>
      <selection pane="bottomLeft" activeCell="A3" sqref="A3"/>
      <selection pane="bottomRight" activeCell="O31" sqref="O3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402186</v>
      </c>
      <c r="B3" s="73" t="s">
        <v>316</v>
      </c>
      <c r="C3" s="9" t="s">
        <v>317</v>
      </c>
      <c r="D3" s="75" t="s">
        <v>83</v>
      </c>
      <c r="E3" s="13">
        <v>44479</v>
      </c>
      <c r="F3" s="75" t="s">
        <v>119</v>
      </c>
      <c r="G3" s="13">
        <v>44480.625</v>
      </c>
      <c r="H3" s="10" t="s">
        <v>290</v>
      </c>
      <c r="I3" s="1">
        <v>31</v>
      </c>
      <c r="J3" s="1">
        <v>36</v>
      </c>
      <c r="K3" s="1">
        <v>27</v>
      </c>
      <c r="L3" s="1">
        <v>8</v>
      </c>
      <c r="M3" s="79">
        <v>7.5330000000000004</v>
      </c>
      <c r="N3" s="103">
        <v>8</v>
      </c>
      <c r="O3" s="64">
        <v>7000</v>
      </c>
      <c r="P3" s="65">
        <f>Table224578910112345678910111213141516[[#This Row],[PEMBULATAN]]*O3</f>
        <v>56000</v>
      </c>
    </row>
    <row r="4" spans="1:16" ht="26.25" customHeight="1" x14ac:dyDescent="0.2">
      <c r="A4" s="14"/>
      <c r="B4" s="74"/>
      <c r="C4" s="9" t="s">
        <v>318</v>
      </c>
      <c r="D4" s="75" t="s">
        <v>83</v>
      </c>
      <c r="E4" s="13">
        <v>44479</v>
      </c>
      <c r="F4" s="75" t="s">
        <v>119</v>
      </c>
      <c r="G4" s="13">
        <v>44480.625</v>
      </c>
      <c r="H4" s="10" t="s">
        <v>290</v>
      </c>
      <c r="I4" s="1">
        <v>100</v>
      </c>
      <c r="J4" s="1">
        <v>70</v>
      </c>
      <c r="K4" s="1">
        <v>40</v>
      </c>
      <c r="L4" s="1">
        <v>39</v>
      </c>
      <c r="M4" s="79">
        <v>70</v>
      </c>
      <c r="N4" s="103">
        <v>70</v>
      </c>
      <c r="O4" s="64">
        <v>7000</v>
      </c>
      <c r="P4" s="65">
        <f>Table224578910112345678910111213141516[[#This Row],[PEMBULATAN]]*O4</f>
        <v>490000</v>
      </c>
    </row>
    <row r="5" spans="1:16" ht="26.25" customHeight="1" x14ac:dyDescent="0.2">
      <c r="A5" s="14"/>
      <c r="B5" s="74"/>
      <c r="C5" s="95" t="s">
        <v>319</v>
      </c>
      <c r="D5" s="96" t="s">
        <v>83</v>
      </c>
      <c r="E5" s="97">
        <v>44479</v>
      </c>
      <c r="F5" s="98" t="s">
        <v>119</v>
      </c>
      <c r="G5" s="97">
        <v>44480.625</v>
      </c>
      <c r="H5" s="99" t="s">
        <v>290</v>
      </c>
      <c r="I5" s="100">
        <v>48</v>
      </c>
      <c r="J5" s="100">
        <v>72</v>
      </c>
      <c r="K5" s="100">
        <v>47</v>
      </c>
      <c r="L5" s="100">
        <v>11</v>
      </c>
      <c r="M5" s="101">
        <v>40.607999999999997</v>
      </c>
      <c r="N5" s="107">
        <v>40.607999999999997</v>
      </c>
      <c r="O5" s="64">
        <v>7000</v>
      </c>
      <c r="P5" s="65">
        <f>Table224578910112345678910111213141516[[#This Row],[PEMBULATAN]]*O5</f>
        <v>284256</v>
      </c>
    </row>
    <row r="6" spans="1:16" ht="26.25" customHeight="1" x14ac:dyDescent="0.2">
      <c r="A6" s="14"/>
      <c r="B6" s="74"/>
      <c r="C6" s="95" t="s">
        <v>320</v>
      </c>
      <c r="D6" s="96" t="s">
        <v>83</v>
      </c>
      <c r="E6" s="97">
        <v>44479</v>
      </c>
      <c r="F6" s="98" t="s">
        <v>119</v>
      </c>
      <c r="G6" s="97">
        <v>44480.625</v>
      </c>
      <c r="H6" s="99" t="s">
        <v>290</v>
      </c>
      <c r="I6" s="100">
        <v>91</v>
      </c>
      <c r="J6" s="100">
        <v>46</v>
      </c>
      <c r="K6" s="100">
        <v>55</v>
      </c>
      <c r="L6" s="100">
        <v>24</v>
      </c>
      <c r="M6" s="101">
        <v>57.557499999999997</v>
      </c>
      <c r="N6" s="107">
        <v>57.557499999999997</v>
      </c>
      <c r="O6" s="64">
        <v>7000</v>
      </c>
      <c r="P6" s="65">
        <f>Table224578910112345678910111213141516[[#This Row],[PEMBULATAN]]*O6</f>
        <v>402902.5</v>
      </c>
    </row>
    <row r="7" spans="1:16" ht="26.25" customHeight="1" x14ac:dyDescent="0.2">
      <c r="A7" s="14"/>
      <c r="B7" s="74"/>
      <c r="C7" s="95" t="s">
        <v>321</v>
      </c>
      <c r="D7" s="96" t="s">
        <v>83</v>
      </c>
      <c r="E7" s="97">
        <v>44479</v>
      </c>
      <c r="F7" s="98" t="s">
        <v>119</v>
      </c>
      <c r="G7" s="97">
        <v>44480.625</v>
      </c>
      <c r="H7" s="99" t="s">
        <v>290</v>
      </c>
      <c r="I7" s="100">
        <v>35</v>
      </c>
      <c r="J7" s="100">
        <v>30</v>
      </c>
      <c r="K7" s="100">
        <v>32</v>
      </c>
      <c r="L7" s="100">
        <v>6</v>
      </c>
      <c r="M7" s="101">
        <v>8.4</v>
      </c>
      <c r="N7" s="107">
        <v>9</v>
      </c>
      <c r="O7" s="64">
        <v>7000</v>
      </c>
      <c r="P7" s="65">
        <f>Table224578910112345678910111213141516[[#This Row],[PEMBULATAN]]*O7</f>
        <v>63000</v>
      </c>
    </row>
    <row r="8" spans="1:16" ht="26.25" customHeight="1" x14ac:dyDescent="0.2">
      <c r="A8" s="14"/>
      <c r="B8" s="74"/>
      <c r="C8" s="95" t="s">
        <v>322</v>
      </c>
      <c r="D8" s="96" t="s">
        <v>83</v>
      </c>
      <c r="E8" s="97">
        <v>44479</v>
      </c>
      <c r="F8" s="98" t="s">
        <v>119</v>
      </c>
      <c r="G8" s="97">
        <v>44480.625</v>
      </c>
      <c r="H8" s="99" t="s">
        <v>290</v>
      </c>
      <c r="I8" s="100">
        <v>69</v>
      </c>
      <c r="J8" s="100">
        <v>51</v>
      </c>
      <c r="K8" s="100">
        <v>15</v>
      </c>
      <c r="L8" s="100">
        <v>7</v>
      </c>
      <c r="M8" s="101">
        <v>13.196249999999999</v>
      </c>
      <c r="N8" s="107">
        <v>13.196249999999999</v>
      </c>
      <c r="O8" s="64">
        <v>7000</v>
      </c>
      <c r="P8" s="65">
        <f>Table224578910112345678910111213141516[[#This Row],[PEMBULATAN]]*O8</f>
        <v>92373.75</v>
      </c>
    </row>
    <row r="9" spans="1:16" ht="26.25" customHeight="1" x14ac:dyDescent="0.2">
      <c r="A9" s="14"/>
      <c r="B9" s="74"/>
      <c r="C9" s="95" t="s">
        <v>323</v>
      </c>
      <c r="D9" s="96" t="s">
        <v>83</v>
      </c>
      <c r="E9" s="97">
        <v>44479</v>
      </c>
      <c r="F9" s="98" t="s">
        <v>119</v>
      </c>
      <c r="G9" s="97">
        <v>44480.625</v>
      </c>
      <c r="H9" s="99" t="s">
        <v>290</v>
      </c>
      <c r="I9" s="100">
        <v>54</v>
      </c>
      <c r="J9" s="100">
        <v>34</v>
      </c>
      <c r="K9" s="100">
        <v>20</v>
      </c>
      <c r="L9" s="100">
        <v>10</v>
      </c>
      <c r="M9" s="101">
        <v>9.18</v>
      </c>
      <c r="N9" s="107">
        <v>10</v>
      </c>
      <c r="O9" s="64">
        <v>7000</v>
      </c>
      <c r="P9" s="65">
        <f>Table224578910112345678910111213141516[[#This Row],[PEMBULATAN]]*O9</f>
        <v>70000</v>
      </c>
    </row>
    <row r="10" spans="1:16" ht="26.25" customHeight="1" x14ac:dyDescent="0.2">
      <c r="A10" s="14"/>
      <c r="B10" s="74"/>
      <c r="C10" s="95" t="s">
        <v>324</v>
      </c>
      <c r="D10" s="96" t="s">
        <v>83</v>
      </c>
      <c r="E10" s="97">
        <v>44479</v>
      </c>
      <c r="F10" s="98" t="s">
        <v>119</v>
      </c>
      <c r="G10" s="97">
        <v>44480.625</v>
      </c>
      <c r="H10" s="99" t="s">
        <v>290</v>
      </c>
      <c r="I10" s="100">
        <v>57</v>
      </c>
      <c r="J10" s="100">
        <v>36</v>
      </c>
      <c r="K10" s="100">
        <v>45</v>
      </c>
      <c r="L10" s="100">
        <v>9</v>
      </c>
      <c r="M10" s="101">
        <v>23.085000000000001</v>
      </c>
      <c r="N10" s="107">
        <v>23.085000000000001</v>
      </c>
      <c r="O10" s="64">
        <v>7000</v>
      </c>
      <c r="P10" s="65">
        <f>Table224578910112345678910111213141516[[#This Row],[PEMBULATAN]]*O10</f>
        <v>161595</v>
      </c>
    </row>
    <row r="11" spans="1:16" ht="26.25" customHeight="1" x14ac:dyDescent="0.2">
      <c r="A11" s="14"/>
      <c r="B11" s="74"/>
      <c r="C11" s="95" t="s">
        <v>325</v>
      </c>
      <c r="D11" s="96" t="s">
        <v>83</v>
      </c>
      <c r="E11" s="97">
        <v>44479</v>
      </c>
      <c r="F11" s="98" t="s">
        <v>119</v>
      </c>
      <c r="G11" s="97">
        <v>44480.625</v>
      </c>
      <c r="H11" s="99" t="s">
        <v>290</v>
      </c>
      <c r="I11" s="100">
        <v>41</v>
      </c>
      <c r="J11" s="100">
        <v>30</v>
      </c>
      <c r="K11" s="100">
        <v>32</v>
      </c>
      <c r="L11" s="100">
        <v>11</v>
      </c>
      <c r="M11" s="101">
        <v>9.84</v>
      </c>
      <c r="N11" s="107">
        <v>11</v>
      </c>
      <c r="O11" s="64">
        <v>7000</v>
      </c>
      <c r="P11" s="65">
        <f>Table224578910112345678910111213141516[[#This Row],[PEMBULATAN]]*O11</f>
        <v>77000</v>
      </c>
    </row>
    <row r="12" spans="1:16" ht="26.25" customHeight="1" x14ac:dyDescent="0.2">
      <c r="A12" s="14"/>
      <c r="B12" s="74"/>
      <c r="C12" s="95" t="s">
        <v>326</v>
      </c>
      <c r="D12" s="96" t="s">
        <v>83</v>
      </c>
      <c r="E12" s="97">
        <v>44479</v>
      </c>
      <c r="F12" s="98" t="s">
        <v>119</v>
      </c>
      <c r="G12" s="97">
        <v>44480.625</v>
      </c>
      <c r="H12" s="99" t="s">
        <v>290</v>
      </c>
      <c r="I12" s="100">
        <v>44</v>
      </c>
      <c r="J12" s="100">
        <v>30</v>
      </c>
      <c r="K12" s="100">
        <v>23</v>
      </c>
      <c r="L12" s="100">
        <v>5</v>
      </c>
      <c r="M12" s="101">
        <v>7.59</v>
      </c>
      <c r="N12" s="107">
        <v>7.59</v>
      </c>
      <c r="O12" s="64">
        <v>7000</v>
      </c>
      <c r="P12" s="65">
        <f>Table224578910112345678910111213141516[[#This Row],[PEMBULATAN]]*O12</f>
        <v>53130</v>
      </c>
    </row>
    <row r="13" spans="1:16" ht="26.25" customHeight="1" x14ac:dyDescent="0.2">
      <c r="A13" s="14"/>
      <c r="B13" s="74"/>
      <c r="C13" s="95" t="s">
        <v>327</v>
      </c>
      <c r="D13" s="96" t="s">
        <v>83</v>
      </c>
      <c r="E13" s="97">
        <v>44479</v>
      </c>
      <c r="F13" s="98" t="s">
        <v>119</v>
      </c>
      <c r="G13" s="97">
        <v>44480.625</v>
      </c>
      <c r="H13" s="99" t="s">
        <v>290</v>
      </c>
      <c r="I13" s="100">
        <v>38</v>
      </c>
      <c r="J13" s="100">
        <v>30</v>
      </c>
      <c r="K13" s="100">
        <v>30</v>
      </c>
      <c r="L13" s="100">
        <v>5</v>
      </c>
      <c r="M13" s="101">
        <v>8.5500000000000007</v>
      </c>
      <c r="N13" s="107">
        <v>8.5500000000000007</v>
      </c>
      <c r="O13" s="64">
        <v>7000</v>
      </c>
      <c r="P13" s="65">
        <f>Table224578910112345678910111213141516[[#This Row],[PEMBULATAN]]*O13</f>
        <v>59850.000000000007</v>
      </c>
    </row>
    <row r="14" spans="1:16" ht="26.25" customHeight="1" x14ac:dyDescent="0.2">
      <c r="A14" s="14"/>
      <c r="B14" s="108"/>
      <c r="C14" s="95" t="s">
        <v>328</v>
      </c>
      <c r="D14" s="96" t="s">
        <v>83</v>
      </c>
      <c r="E14" s="97">
        <v>44479</v>
      </c>
      <c r="F14" s="98" t="s">
        <v>119</v>
      </c>
      <c r="G14" s="97">
        <v>44480.625</v>
      </c>
      <c r="H14" s="99" t="s">
        <v>290</v>
      </c>
      <c r="I14" s="100">
        <v>44</v>
      </c>
      <c r="J14" s="100">
        <v>40</v>
      </c>
      <c r="K14" s="100">
        <v>20</v>
      </c>
      <c r="L14" s="100">
        <v>8</v>
      </c>
      <c r="M14" s="101">
        <v>8.8000000000000007</v>
      </c>
      <c r="N14" s="107">
        <v>8.8000000000000007</v>
      </c>
      <c r="O14" s="64">
        <v>7000</v>
      </c>
      <c r="P14" s="65">
        <f>Table224578910112345678910111213141516[[#This Row],[PEMBULATAN]]*O14</f>
        <v>61600.000000000007</v>
      </c>
    </row>
    <row r="15" spans="1:16" ht="26.25" customHeight="1" x14ac:dyDescent="0.2">
      <c r="A15" s="14"/>
      <c r="B15" s="74" t="s">
        <v>329</v>
      </c>
      <c r="C15" s="95" t="s">
        <v>330</v>
      </c>
      <c r="D15" s="96" t="s">
        <v>83</v>
      </c>
      <c r="E15" s="97">
        <v>44479</v>
      </c>
      <c r="F15" s="98" t="s">
        <v>119</v>
      </c>
      <c r="G15" s="97">
        <v>44480.625</v>
      </c>
      <c r="H15" s="99" t="s">
        <v>290</v>
      </c>
      <c r="I15" s="100">
        <v>35</v>
      </c>
      <c r="J15" s="100">
        <v>29</v>
      </c>
      <c r="K15" s="100">
        <v>38</v>
      </c>
      <c r="L15" s="100">
        <v>3</v>
      </c>
      <c r="M15" s="101">
        <v>9.6425000000000001</v>
      </c>
      <c r="N15" s="107">
        <v>9.6425000000000001</v>
      </c>
      <c r="O15" s="64">
        <v>7000</v>
      </c>
      <c r="P15" s="65">
        <f>Table224578910112345678910111213141516[[#This Row],[PEMBULATAN]]*O15</f>
        <v>67497.5</v>
      </c>
    </row>
    <row r="16" spans="1:16" ht="26.25" customHeight="1" x14ac:dyDescent="0.2">
      <c r="A16" s="14"/>
      <c r="B16" s="74"/>
      <c r="C16" s="95" t="s">
        <v>331</v>
      </c>
      <c r="D16" s="96" t="s">
        <v>83</v>
      </c>
      <c r="E16" s="97">
        <v>44479</v>
      </c>
      <c r="F16" s="98" t="s">
        <v>119</v>
      </c>
      <c r="G16" s="97">
        <v>44480.625</v>
      </c>
      <c r="H16" s="99" t="s">
        <v>290</v>
      </c>
      <c r="I16" s="100">
        <v>56</v>
      </c>
      <c r="J16" s="100">
        <v>46</v>
      </c>
      <c r="K16" s="100">
        <v>49</v>
      </c>
      <c r="L16" s="100">
        <v>9</v>
      </c>
      <c r="M16" s="101">
        <v>31.556000000000001</v>
      </c>
      <c r="N16" s="107">
        <v>31.556000000000001</v>
      </c>
      <c r="O16" s="64">
        <v>7000</v>
      </c>
      <c r="P16" s="65">
        <f>Table224578910112345678910111213141516[[#This Row],[PEMBULATAN]]*O16</f>
        <v>220892</v>
      </c>
    </row>
    <row r="17" spans="1:16" ht="26.25" customHeight="1" x14ac:dyDescent="0.2">
      <c r="A17" s="14"/>
      <c r="B17" s="74"/>
      <c r="C17" s="95" t="s">
        <v>332</v>
      </c>
      <c r="D17" s="96" t="s">
        <v>83</v>
      </c>
      <c r="E17" s="97">
        <v>44479</v>
      </c>
      <c r="F17" s="98" t="s">
        <v>119</v>
      </c>
      <c r="G17" s="97">
        <v>44480.625</v>
      </c>
      <c r="H17" s="99" t="s">
        <v>290</v>
      </c>
      <c r="I17" s="100">
        <v>135</v>
      </c>
      <c r="J17" s="100">
        <v>25</v>
      </c>
      <c r="K17" s="100">
        <v>25</v>
      </c>
      <c r="L17" s="100">
        <v>21</v>
      </c>
      <c r="M17" s="101">
        <v>21.09375</v>
      </c>
      <c r="N17" s="107">
        <v>21.09375</v>
      </c>
      <c r="O17" s="64">
        <v>7000</v>
      </c>
      <c r="P17" s="65">
        <f>Table224578910112345678910111213141516[[#This Row],[PEMBULATAN]]*O17</f>
        <v>147656.25</v>
      </c>
    </row>
    <row r="18" spans="1:16" ht="26.25" customHeight="1" x14ac:dyDescent="0.2">
      <c r="A18" s="14"/>
      <c r="B18" s="109" t="s">
        <v>333</v>
      </c>
      <c r="C18" s="95" t="s">
        <v>334</v>
      </c>
      <c r="D18" s="96" t="s">
        <v>83</v>
      </c>
      <c r="E18" s="97">
        <v>44479</v>
      </c>
      <c r="F18" s="98" t="s">
        <v>119</v>
      </c>
      <c r="G18" s="97">
        <v>44480.625</v>
      </c>
      <c r="H18" s="99" t="s">
        <v>290</v>
      </c>
      <c r="I18" s="100">
        <v>146</v>
      </c>
      <c r="J18" s="100">
        <v>67</v>
      </c>
      <c r="K18" s="100">
        <v>67</v>
      </c>
      <c r="L18" s="100">
        <v>12</v>
      </c>
      <c r="M18" s="101">
        <v>163.8485</v>
      </c>
      <c r="N18" s="107">
        <v>163.8485</v>
      </c>
      <c r="O18" s="64">
        <v>7000</v>
      </c>
      <c r="P18" s="65">
        <f>Table224578910112345678910111213141516[[#This Row],[PEMBULATAN]]*O18</f>
        <v>1146939.5</v>
      </c>
    </row>
    <row r="19" spans="1:16" ht="26.25" customHeight="1" x14ac:dyDescent="0.2">
      <c r="A19" s="14"/>
      <c r="B19" s="109" t="s">
        <v>335</v>
      </c>
      <c r="C19" s="95" t="s">
        <v>336</v>
      </c>
      <c r="D19" s="96" t="s">
        <v>83</v>
      </c>
      <c r="E19" s="97">
        <v>44479</v>
      </c>
      <c r="F19" s="98" t="s">
        <v>119</v>
      </c>
      <c r="G19" s="97">
        <v>44480.625</v>
      </c>
      <c r="H19" s="99" t="s">
        <v>290</v>
      </c>
      <c r="I19" s="100">
        <v>10</v>
      </c>
      <c r="J19" s="100">
        <v>28</v>
      </c>
      <c r="K19" s="100">
        <v>20</v>
      </c>
      <c r="L19" s="100">
        <v>5</v>
      </c>
      <c r="M19" s="101">
        <v>1.4</v>
      </c>
      <c r="N19" s="107">
        <v>5</v>
      </c>
      <c r="O19" s="64">
        <v>7000</v>
      </c>
      <c r="P19" s="65">
        <f>Table224578910112345678910111213141516[[#This Row],[PEMBULATAN]]*O19</f>
        <v>35000</v>
      </c>
    </row>
    <row r="20" spans="1:16" ht="26.25" customHeight="1" x14ac:dyDescent="0.2">
      <c r="A20" s="14"/>
      <c r="B20" s="109" t="s">
        <v>337</v>
      </c>
      <c r="C20" s="95" t="s">
        <v>338</v>
      </c>
      <c r="D20" s="96" t="s">
        <v>83</v>
      </c>
      <c r="E20" s="97">
        <v>44479</v>
      </c>
      <c r="F20" s="98" t="s">
        <v>119</v>
      </c>
      <c r="G20" s="97">
        <v>44480.625</v>
      </c>
      <c r="H20" s="99" t="s">
        <v>290</v>
      </c>
      <c r="I20" s="100">
        <v>62</v>
      </c>
      <c r="J20" s="100">
        <v>20</v>
      </c>
      <c r="K20" s="100">
        <v>12</v>
      </c>
      <c r="L20" s="100">
        <v>8</v>
      </c>
      <c r="M20" s="101">
        <v>3.72</v>
      </c>
      <c r="N20" s="107">
        <v>8</v>
      </c>
      <c r="O20" s="64">
        <v>7000</v>
      </c>
      <c r="P20" s="65">
        <f>Table224578910112345678910111213141516[[#This Row],[PEMBULATAN]]*O20</f>
        <v>56000</v>
      </c>
    </row>
    <row r="21" spans="1:16" ht="26.25" customHeight="1" x14ac:dyDescent="0.2">
      <c r="A21" s="14"/>
      <c r="B21" s="73" t="s">
        <v>339</v>
      </c>
      <c r="C21" s="95" t="s">
        <v>340</v>
      </c>
      <c r="D21" s="96" t="s">
        <v>83</v>
      </c>
      <c r="E21" s="97">
        <v>44479</v>
      </c>
      <c r="F21" s="98" t="s">
        <v>119</v>
      </c>
      <c r="G21" s="97">
        <v>44480.625</v>
      </c>
      <c r="H21" s="99" t="s">
        <v>290</v>
      </c>
      <c r="I21" s="100">
        <v>44</v>
      </c>
      <c r="J21" s="100">
        <v>32</v>
      </c>
      <c r="K21" s="100">
        <v>30</v>
      </c>
      <c r="L21" s="100">
        <v>9</v>
      </c>
      <c r="M21" s="101">
        <v>10.56</v>
      </c>
      <c r="N21" s="107">
        <v>10.56</v>
      </c>
      <c r="O21" s="64">
        <v>7000</v>
      </c>
      <c r="P21" s="65">
        <f>Table224578910112345678910111213141516[[#This Row],[PEMBULATAN]]*O21</f>
        <v>73920</v>
      </c>
    </row>
    <row r="22" spans="1:16" ht="26.25" customHeight="1" x14ac:dyDescent="0.2">
      <c r="A22" s="14"/>
      <c r="B22" s="74"/>
      <c r="C22" s="95" t="s">
        <v>341</v>
      </c>
      <c r="D22" s="96" t="s">
        <v>83</v>
      </c>
      <c r="E22" s="97">
        <v>44479</v>
      </c>
      <c r="F22" s="98" t="s">
        <v>119</v>
      </c>
      <c r="G22" s="97">
        <v>44480.625</v>
      </c>
      <c r="H22" s="99" t="s">
        <v>290</v>
      </c>
      <c r="I22" s="100">
        <v>41</v>
      </c>
      <c r="J22" s="100">
        <v>31</v>
      </c>
      <c r="K22" s="100">
        <v>26</v>
      </c>
      <c r="L22" s="100">
        <v>10</v>
      </c>
      <c r="M22" s="101">
        <v>8.2614999999999998</v>
      </c>
      <c r="N22" s="107">
        <v>10</v>
      </c>
      <c r="O22" s="64">
        <v>7000</v>
      </c>
      <c r="P22" s="65">
        <f>Table224578910112345678910111213141516[[#This Row],[PEMBULATAN]]*O22</f>
        <v>70000</v>
      </c>
    </row>
    <row r="23" spans="1:16" ht="26.25" customHeight="1" x14ac:dyDescent="0.2">
      <c r="A23" s="14"/>
      <c r="B23" s="74"/>
      <c r="C23" s="95" t="s">
        <v>342</v>
      </c>
      <c r="D23" s="96" t="s">
        <v>83</v>
      </c>
      <c r="E23" s="97">
        <v>44479</v>
      </c>
      <c r="F23" s="98" t="s">
        <v>119</v>
      </c>
      <c r="G23" s="97">
        <v>44480.625</v>
      </c>
      <c r="H23" s="99" t="s">
        <v>290</v>
      </c>
      <c r="I23" s="100">
        <v>41</v>
      </c>
      <c r="J23" s="100">
        <v>31</v>
      </c>
      <c r="K23" s="100">
        <v>26</v>
      </c>
      <c r="L23" s="100">
        <v>10</v>
      </c>
      <c r="M23" s="101">
        <v>8.2614999999999998</v>
      </c>
      <c r="N23" s="107">
        <v>10</v>
      </c>
      <c r="O23" s="64">
        <v>7000</v>
      </c>
      <c r="P23" s="65">
        <f>Table224578910112345678910111213141516[[#This Row],[PEMBULATAN]]*O23</f>
        <v>70000</v>
      </c>
    </row>
    <row r="24" spans="1:16" ht="26.25" customHeight="1" x14ac:dyDescent="0.2">
      <c r="A24" s="14"/>
      <c r="B24" s="74"/>
      <c r="C24" s="95" t="s">
        <v>343</v>
      </c>
      <c r="D24" s="96" t="s">
        <v>83</v>
      </c>
      <c r="E24" s="97">
        <v>44479</v>
      </c>
      <c r="F24" s="98" t="s">
        <v>119</v>
      </c>
      <c r="G24" s="97">
        <v>44480.625</v>
      </c>
      <c r="H24" s="99" t="s">
        <v>290</v>
      </c>
      <c r="I24" s="100">
        <v>46</v>
      </c>
      <c r="J24" s="100">
        <v>33</v>
      </c>
      <c r="K24" s="100">
        <v>33</v>
      </c>
      <c r="L24" s="100">
        <v>8</v>
      </c>
      <c r="M24" s="101">
        <v>12.5235</v>
      </c>
      <c r="N24" s="107">
        <v>12.5235</v>
      </c>
      <c r="O24" s="64">
        <v>7000</v>
      </c>
      <c r="P24" s="65">
        <f>Table224578910112345678910111213141516[[#This Row],[PEMBULATAN]]*O24</f>
        <v>87664.5</v>
      </c>
    </row>
    <row r="25" spans="1:16" ht="26.25" customHeight="1" x14ac:dyDescent="0.2">
      <c r="A25" s="14"/>
      <c r="B25" s="74"/>
      <c r="C25" s="95" t="s">
        <v>344</v>
      </c>
      <c r="D25" s="96" t="s">
        <v>83</v>
      </c>
      <c r="E25" s="97">
        <v>44479</v>
      </c>
      <c r="F25" s="98" t="s">
        <v>119</v>
      </c>
      <c r="G25" s="97">
        <v>44480.625</v>
      </c>
      <c r="H25" s="99" t="s">
        <v>290</v>
      </c>
      <c r="I25" s="100">
        <v>60</v>
      </c>
      <c r="J25" s="100">
        <v>51</v>
      </c>
      <c r="K25" s="100">
        <v>32</v>
      </c>
      <c r="L25" s="100">
        <v>10</v>
      </c>
      <c r="M25" s="101">
        <v>24.48</v>
      </c>
      <c r="N25" s="107">
        <v>25</v>
      </c>
      <c r="O25" s="64">
        <v>7000</v>
      </c>
      <c r="P25" s="65">
        <f>Table224578910112345678910111213141516[[#This Row],[PEMBULATAN]]*O25</f>
        <v>175000</v>
      </c>
    </row>
    <row r="26" spans="1:16" ht="26.25" customHeight="1" x14ac:dyDescent="0.2">
      <c r="A26" s="14"/>
      <c r="B26" s="74"/>
      <c r="C26" s="95" t="s">
        <v>345</v>
      </c>
      <c r="D26" s="96" t="s">
        <v>83</v>
      </c>
      <c r="E26" s="97">
        <v>44479</v>
      </c>
      <c r="F26" s="98" t="s">
        <v>119</v>
      </c>
      <c r="G26" s="97">
        <v>44480.625</v>
      </c>
      <c r="H26" s="99" t="s">
        <v>290</v>
      </c>
      <c r="I26" s="100">
        <v>41</v>
      </c>
      <c r="J26" s="100">
        <v>24</v>
      </c>
      <c r="K26" s="100">
        <v>20</v>
      </c>
      <c r="L26" s="100">
        <v>10</v>
      </c>
      <c r="M26" s="101">
        <v>4.92</v>
      </c>
      <c r="N26" s="107">
        <v>10</v>
      </c>
      <c r="O26" s="64">
        <v>7000</v>
      </c>
      <c r="P26" s="65">
        <f>Table224578910112345678910111213141516[[#This Row],[PEMBULATAN]]*O26</f>
        <v>70000</v>
      </c>
    </row>
    <row r="27" spans="1:16" ht="26.25" customHeight="1" x14ac:dyDescent="0.2">
      <c r="A27" s="14"/>
      <c r="B27" s="74"/>
      <c r="C27" s="95" t="s">
        <v>346</v>
      </c>
      <c r="D27" s="96" t="s">
        <v>83</v>
      </c>
      <c r="E27" s="97">
        <v>44479</v>
      </c>
      <c r="F27" s="98" t="s">
        <v>119</v>
      </c>
      <c r="G27" s="97">
        <v>44480.625</v>
      </c>
      <c r="H27" s="99" t="s">
        <v>290</v>
      </c>
      <c r="I27" s="100">
        <v>43</v>
      </c>
      <c r="J27" s="100">
        <v>21</v>
      </c>
      <c r="K27" s="100">
        <v>10</v>
      </c>
      <c r="L27" s="100">
        <v>9</v>
      </c>
      <c r="M27" s="101">
        <v>2.2574999999999998</v>
      </c>
      <c r="N27" s="107">
        <v>9</v>
      </c>
      <c r="O27" s="64">
        <v>7000</v>
      </c>
      <c r="P27" s="65">
        <f>Table224578910112345678910111213141516[[#This Row],[PEMBULATAN]]*O27</f>
        <v>63000</v>
      </c>
    </row>
    <row r="28" spans="1:16" ht="26.25" customHeight="1" x14ac:dyDescent="0.2">
      <c r="A28" s="14"/>
      <c r="B28" s="74"/>
      <c r="C28" s="95" t="s">
        <v>347</v>
      </c>
      <c r="D28" s="96" t="s">
        <v>83</v>
      </c>
      <c r="E28" s="97">
        <v>44479</v>
      </c>
      <c r="F28" s="98" t="s">
        <v>119</v>
      </c>
      <c r="G28" s="97">
        <v>44480.625</v>
      </c>
      <c r="H28" s="99" t="s">
        <v>290</v>
      </c>
      <c r="I28" s="100">
        <v>32</v>
      </c>
      <c r="J28" s="100">
        <v>23</v>
      </c>
      <c r="K28" s="100">
        <v>19</v>
      </c>
      <c r="L28" s="100">
        <v>8</v>
      </c>
      <c r="M28" s="101">
        <v>3.496</v>
      </c>
      <c r="N28" s="107">
        <v>8</v>
      </c>
      <c r="O28" s="64">
        <v>7000</v>
      </c>
      <c r="P28" s="65">
        <f>Table224578910112345678910111213141516[[#This Row],[PEMBULATAN]]*O28</f>
        <v>56000</v>
      </c>
    </row>
    <row r="29" spans="1:16" ht="26.25" customHeight="1" x14ac:dyDescent="0.2">
      <c r="A29" s="14"/>
      <c r="B29" s="74"/>
      <c r="C29" s="95" t="s">
        <v>348</v>
      </c>
      <c r="D29" s="96" t="s">
        <v>83</v>
      </c>
      <c r="E29" s="97">
        <v>44479</v>
      </c>
      <c r="F29" s="98" t="s">
        <v>119</v>
      </c>
      <c r="G29" s="97">
        <v>44480.625</v>
      </c>
      <c r="H29" s="99" t="s">
        <v>290</v>
      </c>
      <c r="I29" s="100">
        <v>35</v>
      </c>
      <c r="J29" s="100">
        <v>35</v>
      </c>
      <c r="K29" s="100">
        <v>18</v>
      </c>
      <c r="L29" s="100">
        <v>11</v>
      </c>
      <c r="M29" s="101">
        <v>5.5125000000000002</v>
      </c>
      <c r="N29" s="107">
        <v>11</v>
      </c>
      <c r="O29" s="64">
        <v>7000</v>
      </c>
      <c r="P29" s="65">
        <f>Table224578910112345678910111213141516[[#This Row],[PEMBULATAN]]*O29</f>
        <v>77000</v>
      </c>
    </row>
    <row r="30" spans="1:16" ht="22.5" customHeight="1" x14ac:dyDescent="0.2">
      <c r="A30" s="143" t="s">
        <v>30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5"/>
      <c r="M30" s="78">
        <f>SUBTOTAL(109,Table224578910112345678910111213141516[KG VOLUME])</f>
        <v>575.87300000000005</v>
      </c>
      <c r="N30" s="68">
        <f>SUM(N3:N29)</f>
        <v>612.61099999999999</v>
      </c>
      <c r="O30" s="146">
        <f>SUM(P3:P29)</f>
        <v>4288277</v>
      </c>
      <c r="P30" s="147"/>
    </row>
    <row r="31" spans="1:16" ht="18" customHeight="1" x14ac:dyDescent="0.2">
      <c r="A31" s="85"/>
      <c r="B31" s="56" t="s">
        <v>42</v>
      </c>
      <c r="C31" s="55"/>
      <c r="D31" s="57" t="s">
        <v>43</v>
      </c>
      <c r="E31" s="85"/>
      <c r="F31" s="85"/>
      <c r="G31" s="85"/>
      <c r="H31" s="85"/>
      <c r="I31" s="85"/>
      <c r="J31" s="85"/>
      <c r="K31" s="85"/>
      <c r="L31" s="85"/>
      <c r="M31" s="86"/>
      <c r="N31" s="87" t="s">
        <v>52</v>
      </c>
      <c r="O31" s="88"/>
      <c r="P31" s="88">
        <v>0</v>
      </c>
    </row>
    <row r="32" spans="1:16" ht="18" customHeight="1" thickBot="1" x14ac:dyDescent="0.25">
      <c r="A32" s="85"/>
      <c r="B32" s="56"/>
      <c r="C32" s="55"/>
      <c r="D32" s="57"/>
      <c r="E32" s="85"/>
      <c r="F32" s="85"/>
      <c r="G32" s="85"/>
      <c r="H32" s="85"/>
      <c r="I32" s="85"/>
      <c r="J32" s="85"/>
      <c r="K32" s="85"/>
      <c r="L32" s="85"/>
      <c r="M32" s="86"/>
      <c r="N32" s="89" t="s">
        <v>53</v>
      </c>
      <c r="O32" s="90"/>
      <c r="P32" s="90">
        <f>O30-P31</f>
        <v>4288277</v>
      </c>
    </row>
    <row r="33" spans="1:16" ht="18" customHeight="1" x14ac:dyDescent="0.2">
      <c r="A33" s="11"/>
      <c r="H33" s="63"/>
      <c r="N33" s="62" t="s">
        <v>31</v>
      </c>
      <c r="P33" s="69">
        <f>P32*1%</f>
        <v>42882.770000000004</v>
      </c>
    </row>
    <row r="34" spans="1:16" ht="18" customHeight="1" thickBot="1" x14ac:dyDescent="0.25">
      <c r="A34" s="11"/>
      <c r="H34" s="63"/>
      <c r="N34" s="62" t="s">
        <v>54</v>
      </c>
      <c r="P34" s="71">
        <f>P32*2%</f>
        <v>85765.540000000008</v>
      </c>
    </row>
    <row r="35" spans="1:16" ht="18" customHeight="1" x14ac:dyDescent="0.2">
      <c r="A35" s="11"/>
      <c r="H35" s="63"/>
      <c r="N35" s="66" t="s">
        <v>32</v>
      </c>
      <c r="O35" s="67"/>
      <c r="P35" s="70">
        <f>P32+P33-P34</f>
        <v>4245394.2299999995</v>
      </c>
    </row>
    <row r="37" spans="1:16" x14ac:dyDescent="0.2">
      <c r="A37" s="11"/>
      <c r="H37" s="63"/>
      <c r="P37" s="71"/>
    </row>
    <row r="38" spans="1:16" x14ac:dyDescent="0.2">
      <c r="A38" s="11"/>
      <c r="H38" s="63"/>
      <c r="O38" s="58"/>
      <c r="P38" s="71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</sheetData>
  <mergeCells count="2">
    <mergeCell ref="A30:L30"/>
    <mergeCell ref="O30:P30"/>
  </mergeCells>
  <conditionalFormatting sqref="B3">
    <cfRule type="duplicateValues" dxfId="682" priority="2"/>
  </conditionalFormatting>
  <conditionalFormatting sqref="B4:B29">
    <cfRule type="duplicateValues" dxfId="681" priority="4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O14" sqref="O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402188</v>
      </c>
      <c r="B3" s="73" t="s">
        <v>349</v>
      </c>
      <c r="C3" s="9" t="s">
        <v>350</v>
      </c>
      <c r="D3" s="75" t="s">
        <v>83</v>
      </c>
      <c r="E3" s="13">
        <v>44480</v>
      </c>
      <c r="F3" s="75" t="s">
        <v>119</v>
      </c>
      <c r="G3" s="13">
        <v>44480</v>
      </c>
      <c r="H3" s="10" t="s">
        <v>290</v>
      </c>
      <c r="I3" s="1">
        <v>52</v>
      </c>
      <c r="J3" s="1">
        <v>36</v>
      </c>
      <c r="K3" s="1">
        <v>20</v>
      </c>
      <c r="L3" s="1">
        <v>11</v>
      </c>
      <c r="M3" s="79">
        <v>9.36</v>
      </c>
      <c r="N3" s="103">
        <v>11</v>
      </c>
      <c r="O3" s="64">
        <v>7000</v>
      </c>
      <c r="P3" s="65">
        <f>Table22457891011234567891011121314151617[[#This Row],[PEMBULATAN]]*O3</f>
        <v>77000</v>
      </c>
    </row>
    <row r="4" spans="1:16" ht="26.25" customHeight="1" x14ac:dyDescent="0.2">
      <c r="A4" s="14"/>
      <c r="B4" s="74"/>
      <c r="C4" s="9" t="s">
        <v>351</v>
      </c>
      <c r="D4" s="75" t="s">
        <v>83</v>
      </c>
      <c r="E4" s="13">
        <v>44480</v>
      </c>
      <c r="F4" s="75" t="s">
        <v>119</v>
      </c>
      <c r="G4" s="13">
        <v>44480</v>
      </c>
      <c r="H4" s="10" t="s">
        <v>290</v>
      </c>
      <c r="I4" s="1">
        <v>95</v>
      </c>
      <c r="J4" s="1">
        <v>41</v>
      </c>
      <c r="K4" s="1">
        <v>13</v>
      </c>
      <c r="L4" s="1">
        <v>5</v>
      </c>
      <c r="M4" s="79">
        <v>12.65875</v>
      </c>
      <c r="N4" s="103">
        <v>12.65875</v>
      </c>
      <c r="O4" s="64">
        <v>7000</v>
      </c>
      <c r="P4" s="65">
        <f>Table22457891011234567891011121314151617[[#This Row],[PEMBULATAN]]*O4</f>
        <v>88611.25</v>
      </c>
    </row>
    <row r="5" spans="1:16" ht="26.25" customHeight="1" x14ac:dyDescent="0.2">
      <c r="A5" s="14"/>
      <c r="B5" s="74"/>
      <c r="C5" s="95" t="s">
        <v>352</v>
      </c>
      <c r="D5" s="96" t="s">
        <v>83</v>
      </c>
      <c r="E5" s="97">
        <v>44480</v>
      </c>
      <c r="F5" s="98" t="s">
        <v>119</v>
      </c>
      <c r="G5" s="97">
        <v>44480</v>
      </c>
      <c r="H5" s="99" t="s">
        <v>290</v>
      </c>
      <c r="I5" s="100">
        <v>43</v>
      </c>
      <c r="J5" s="100">
        <v>27</v>
      </c>
      <c r="K5" s="100">
        <v>21</v>
      </c>
      <c r="L5" s="100">
        <v>4</v>
      </c>
      <c r="M5" s="101">
        <v>6.0952500000000001</v>
      </c>
      <c r="N5" s="107">
        <v>6.0952500000000001</v>
      </c>
      <c r="O5" s="64">
        <v>7000</v>
      </c>
      <c r="P5" s="65">
        <f>Table22457891011234567891011121314151617[[#This Row],[PEMBULATAN]]*O5</f>
        <v>42666.75</v>
      </c>
    </row>
    <row r="6" spans="1:16" ht="26.25" customHeight="1" x14ac:dyDescent="0.2">
      <c r="A6" s="14"/>
      <c r="B6" s="74"/>
      <c r="C6" s="95" t="s">
        <v>353</v>
      </c>
      <c r="D6" s="96" t="s">
        <v>83</v>
      </c>
      <c r="E6" s="97">
        <v>44480</v>
      </c>
      <c r="F6" s="98" t="s">
        <v>119</v>
      </c>
      <c r="G6" s="97">
        <v>44480</v>
      </c>
      <c r="H6" s="99" t="s">
        <v>290</v>
      </c>
      <c r="I6" s="100">
        <v>120</v>
      </c>
      <c r="J6" s="100">
        <v>20</v>
      </c>
      <c r="K6" s="100">
        <v>20</v>
      </c>
      <c r="L6" s="100">
        <v>16</v>
      </c>
      <c r="M6" s="101">
        <v>12</v>
      </c>
      <c r="N6" s="107">
        <v>16</v>
      </c>
      <c r="O6" s="64">
        <v>7000</v>
      </c>
      <c r="P6" s="65">
        <f>Table22457891011234567891011121314151617[[#This Row],[PEMBULATAN]]*O6</f>
        <v>112000</v>
      </c>
    </row>
    <row r="7" spans="1:16" ht="26.25" customHeight="1" x14ac:dyDescent="0.2">
      <c r="A7" s="14"/>
      <c r="B7" s="74"/>
      <c r="C7" s="95" t="s">
        <v>354</v>
      </c>
      <c r="D7" s="96" t="s">
        <v>83</v>
      </c>
      <c r="E7" s="97">
        <v>44480</v>
      </c>
      <c r="F7" s="98" t="s">
        <v>119</v>
      </c>
      <c r="G7" s="97">
        <v>44480</v>
      </c>
      <c r="H7" s="99" t="s">
        <v>290</v>
      </c>
      <c r="I7" s="100">
        <v>67</v>
      </c>
      <c r="J7" s="100">
        <v>50</v>
      </c>
      <c r="K7" s="100">
        <v>50</v>
      </c>
      <c r="L7" s="100">
        <v>17</v>
      </c>
      <c r="M7" s="101">
        <v>41.875</v>
      </c>
      <c r="N7" s="107">
        <v>41.875</v>
      </c>
      <c r="O7" s="64">
        <v>7000</v>
      </c>
      <c r="P7" s="65">
        <f>Table22457891011234567891011121314151617[[#This Row],[PEMBULATAN]]*O7</f>
        <v>293125</v>
      </c>
    </row>
    <row r="8" spans="1:16" ht="26.25" customHeight="1" x14ac:dyDescent="0.2">
      <c r="A8" s="14"/>
      <c r="B8" s="74"/>
      <c r="C8" s="95" t="s">
        <v>355</v>
      </c>
      <c r="D8" s="96" t="s">
        <v>83</v>
      </c>
      <c r="E8" s="97">
        <v>44480</v>
      </c>
      <c r="F8" s="98" t="s">
        <v>119</v>
      </c>
      <c r="G8" s="97">
        <v>44480</v>
      </c>
      <c r="H8" s="99" t="s">
        <v>290</v>
      </c>
      <c r="I8" s="100">
        <v>62</v>
      </c>
      <c r="J8" s="100">
        <v>35</v>
      </c>
      <c r="K8" s="100">
        <v>39</v>
      </c>
      <c r="L8" s="100">
        <v>9</v>
      </c>
      <c r="M8" s="101">
        <v>21.157499999999999</v>
      </c>
      <c r="N8" s="107">
        <v>21.157499999999999</v>
      </c>
      <c r="O8" s="64">
        <v>7000</v>
      </c>
      <c r="P8" s="65">
        <f>Table22457891011234567891011121314151617[[#This Row],[PEMBULATAN]]*O8</f>
        <v>148102.5</v>
      </c>
    </row>
    <row r="9" spans="1:16" ht="26.25" customHeight="1" x14ac:dyDescent="0.2">
      <c r="A9" s="14"/>
      <c r="B9" s="108"/>
      <c r="C9" s="95" t="s">
        <v>356</v>
      </c>
      <c r="D9" s="96" t="s">
        <v>83</v>
      </c>
      <c r="E9" s="97">
        <v>44480</v>
      </c>
      <c r="F9" s="98" t="s">
        <v>119</v>
      </c>
      <c r="G9" s="97">
        <v>44480</v>
      </c>
      <c r="H9" s="99" t="s">
        <v>290</v>
      </c>
      <c r="I9" s="100">
        <v>45</v>
      </c>
      <c r="J9" s="100">
        <v>37</v>
      </c>
      <c r="K9" s="100">
        <v>37</v>
      </c>
      <c r="L9" s="100">
        <v>20</v>
      </c>
      <c r="M9" s="101">
        <v>15.401249999999999</v>
      </c>
      <c r="N9" s="107">
        <v>20</v>
      </c>
      <c r="O9" s="64">
        <v>7000</v>
      </c>
      <c r="P9" s="65">
        <f>Table22457891011234567891011121314151617[[#This Row],[PEMBULATAN]]*O9</f>
        <v>140000</v>
      </c>
    </row>
    <row r="10" spans="1:16" ht="26.25" customHeight="1" x14ac:dyDescent="0.2">
      <c r="A10" s="14"/>
      <c r="B10" s="74" t="s">
        <v>357</v>
      </c>
      <c r="C10" s="95" t="s">
        <v>358</v>
      </c>
      <c r="D10" s="96" t="s">
        <v>83</v>
      </c>
      <c r="E10" s="97">
        <v>44480</v>
      </c>
      <c r="F10" s="98" t="s">
        <v>119</v>
      </c>
      <c r="G10" s="97">
        <v>44480</v>
      </c>
      <c r="H10" s="99" t="s">
        <v>290</v>
      </c>
      <c r="I10" s="100">
        <v>30</v>
      </c>
      <c r="J10" s="100">
        <v>24</v>
      </c>
      <c r="K10" s="100">
        <v>21</v>
      </c>
      <c r="L10" s="100">
        <v>5</v>
      </c>
      <c r="M10" s="101">
        <v>3.78</v>
      </c>
      <c r="N10" s="107">
        <v>5</v>
      </c>
      <c r="O10" s="64">
        <v>7000</v>
      </c>
      <c r="P10" s="65">
        <f>Table22457891011234567891011121314151617[[#This Row],[PEMBULATAN]]*O10</f>
        <v>35000</v>
      </c>
    </row>
    <row r="11" spans="1:16" ht="26.25" customHeight="1" x14ac:dyDescent="0.2">
      <c r="A11" s="14"/>
      <c r="B11" s="74"/>
      <c r="C11" s="95" t="s">
        <v>359</v>
      </c>
      <c r="D11" s="96" t="s">
        <v>83</v>
      </c>
      <c r="E11" s="97">
        <v>44480</v>
      </c>
      <c r="F11" s="98" t="s">
        <v>119</v>
      </c>
      <c r="G11" s="97">
        <v>44480</v>
      </c>
      <c r="H11" s="99" t="s">
        <v>290</v>
      </c>
      <c r="I11" s="100">
        <v>86</v>
      </c>
      <c r="J11" s="100">
        <v>48</v>
      </c>
      <c r="K11" s="100">
        <v>20</v>
      </c>
      <c r="L11" s="100">
        <v>20</v>
      </c>
      <c r="M11" s="101">
        <v>20.64</v>
      </c>
      <c r="N11" s="107">
        <v>20.64</v>
      </c>
      <c r="O11" s="64">
        <v>7000</v>
      </c>
      <c r="P11" s="65">
        <f>Table22457891011234567891011121314151617[[#This Row],[PEMBULATAN]]*O11</f>
        <v>144480</v>
      </c>
    </row>
    <row r="12" spans="1:16" ht="26.25" customHeight="1" x14ac:dyDescent="0.2">
      <c r="A12" s="14"/>
      <c r="B12" s="74"/>
      <c r="C12" s="95" t="s">
        <v>360</v>
      </c>
      <c r="D12" s="96" t="s">
        <v>83</v>
      </c>
      <c r="E12" s="97">
        <v>44480</v>
      </c>
      <c r="F12" s="98" t="s">
        <v>119</v>
      </c>
      <c r="G12" s="97">
        <v>44480</v>
      </c>
      <c r="H12" s="99" t="s">
        <v>290</v>
      </c>
      <c r="I12" s="100">
        <v>40</v>
      </c>
      <c r="J12" s="100">
        <v>40</v>
      </c>
      <c r="K12" s="100">
        <v>37</v>
      </c>
      <c r="L12" s="100">
        <v>7</v>
      </c>
      <c r="M12" s="101">
        <v>14.8</v>
      </c>
      <c r="N12" s="107">
        <v>14.8</v>
      </c>
      <c r="O12" s="64">
        <v>7000</v>
      </c>
      <c r="P12" s="65">
        <f>Table22457891011234567891011121314151617[[#This Row],[PEMBULATAN]]*O12</f>
        <v>103600</v>
      </c>
    </row>
    <row r="13" spans="1:16" ht="22.5" customHeight="1" x14ac:dyDescent="0.2">
      <c r="A13" s="143" t="s">
        <v>30</v>
      </c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5"/>
      <c r="M13" s="78">
        <f>SUBTOTAL(109,Table22457891011234567891011121314151617[KG VOLUME])</f>
        <v>157.76775000000004</v>
      </c>
      <c r="N13" s="68">
        <f>SUM(N3:N12)</f>
        <v>169.22649999999999</v>
      </c>
      <c r="O13" s="146">
        <f>SUM(P3:P12)</f>
        <v>1184585.5</v>
      </c>
      <c r="P13" s="147"/>
    </row>
    <row r="14" spans="1:16" ht="18" customHeight="1" x14ac:dyDescent="0.2">
      <c r="A14" s="85"/>
      <c r="B14" s="56" t="s">
        <v>42</v>
      </c>
      <c r="C14" s="55"/>
      <c r="D14" s="57" t="s">
        <v>43</v>
      </c>
      <c r="E14" s="85"/>
      <c r="F14" s="85"/>
      <c r="G14" s="85"/>
      <c r="H14" s="85"/>
      <c r="I14" s="85"/>
      <c r="J14" s="85"/>
      <c r="K14" s="85"/>
      <c r="L14" s="85"/>
      <c r="M14" s="86"/>
      <c r="N14" s="87" t="s">
        <v>52</v>
      </c>
      <c r="O14" s="88"/>
      <c r="P14" s="88">
        <v>0</v>
      </c>
    </row>
    <row r="15" spans="1:16" ht="18" customHeight="1" thickBot="1" x14ac:dyDescent="0.25">
      <c r="A15" s="85"/>
      <c r="B15" s="56"/>
      <c r="C15" s="55"/>
      <c r="D15" s="57"/>
      <c r="E15" s="85"/>
      <c r="F15" s="85"/>
      <c r="G15" s="85"/>
      <c r="H15" s="85"/>
      <c r="I15" s="85"/>
      <c r="J15" s="85"/>
      <c r="K15" s="85"/>
      <c r="L15" s="85"/>
      <c r="M15" s="86"/>
      <c r="N15" s="89" t="s">
        <v>53</v>
      </c>
      <c r="O15" s="90"/>
      <c r="P15" s="90">
        <f>O13-P14</f>
        <v>1184585.5</v>
      </c>
    </row>
    <row r="16" spans="1:16" ht="18" customHeight="1" x14ac:dyDescent="0.2">
      <c r="A16" s="11"/>
      <c r="H16" s="63"/>
      <c r="N16" s="62" t="s">
        <v>31</v>
      </c>
      <c r="P16" s="69">
        <f>P15*1%</f>
        <v>11845.855</v>
      </c>
    </row>
    <row r="17" spans="1:16" ht="18" customHeight="1" thickBot="1" x14ac:dyDescent="0.25">
      <c r="A17" s="11"/>
      <c r="H17" s="63"/>
      <c r="N17" s="62" t="s">
        <v>54</v>
      </c>
      <c r="P17" s="71">
        <f>P15*2%</f>
        <v>23691.71</v>
      </c>
    </row>
    <row r="18" spans="1:16" ht="18" customHeight="1" x14ac:dyDescent="0.2">
      <c r="A18" s="11"/>
      <c r="H18" s="63"/>
      <c r="N18" s="66" t="s">
        <v>32</v>
      </c>
      <c r="O18" s="67"/>
      <c r="P18" s="70">
        <f>P15+P16-P17</f>
        <v>1172739.645</v>
      </c>
    </row>
    <row r="20" spans="1:16" x14ac:dyDescent="0.2">
      <c r="A20" s="11"/>
      <c r="H20" s="63"/>
      <c r="P20" s="71"/>
    </row>
    <row r="21" spans="1:16" x14ac:dyDescent="0.2">
      <c r="A21" s="11"/>
      <c r="H21" s="63"/>
      <c r="O21" s="58"/>
      <c r="P21" s="71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</sheetData>
  <mergeCells count="2">
    <mergeCell ref="A13:L13"/>
    <mergeCell ref="O13:P13"/>
  </mergeCells>
  <conditionalFormatting sqref="B3">
    <cfRule type="duplicateValues" dxfId="665" priority="2"/>
  </conditionalFormatting>
  <conditionalFormatting sqref="B4:B12">
    <cfRule type="duplicateValues" dxfId="664" priority="4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9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A3" sqref="A3:XFD2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31.5" customHeight="1" x14ac:dyDescent="0.2">
      <c r="A3" s="82">
        <v>402191</v>
      </c>
      <c r="B3" s="73" t="s">
        <v>361</v>
      </c>
      <c r="C3" s="9" t="s">
        <v>362</v>
      </c>
      <c r="D3" s="75" t="s">
        <v>83</v>
      </c>
      <c r="E3" s="13">
        <v>44481</v>
      </c>
      <c r="F3" s="75" t="s">
        <v>84</v>
      </c>
      <c r="G3" s="13" t="s">
        <v>363</v>
      </c>
      <c r="H3" s="10" t="s">
        <v>364</v>
      </c>
      <c r="I3" s="1">
        <v>11</v>
      </c>
      <c r="J3" s="1">
        <v>56</v>
      </c>
      <c r="K3" s="1">
        <v>15</v>
      </c>
      <c r="L3" s="1">
        <v>15</v>
      </c>
      <c r="M3" s="79">
        <v>2.31</v>
      </c>
      <c r="N3" s="103">
        <v>15</v>
      </c>
      <c r="O3" s="64">
        <v>7000</v>
      </c>
      <c r="P3" s="65">
        <f>Table2245789101123456789101112131415161718[[#This Row],[PEMBULATAN]]*O3</f>
        <v>105000</v>
      </c>
    </row>
    <row r="4" spans="1:16" ht="31.5" customHeight="1" x14ac:dyDescent="0.2">
      <c r="A4" s="14"/>
      <c r="B4" s="74"/>
      <c r="C4" s="9" t="s">
        <v>365</v>
      </c>
      <c r="D4" s="75" t="s">
        <v>83</v>
      </c>
      <c r="E4" s="13">
        <v>44481</v>
      </c>
      <c r="F4" s="75" t="s">
        <v>84</v>
      </c>
      <c r="G4" s="13" t="s">
        <v>363</v>
      </c>
      <c r="H4" s="10" t="s">
        <v>364</v>
      </c>
      <c r="I4" s="1">
        <v>52</v>
      </c>
      <c r="J4" s="1">
        <v>45</v>
      </c>
      <c r="K4" s="1">
        <v>19</v>
      </c>
      <c r="L4" s="1">
        <v>5</v>
      </c>
      <c r="M4" s="79">
        <v>11.115</v>
      </c>
      <c r="N4" s="103">
        <v>11.115</v>
      </c>
      <c r="O4" s="64">
        <v>7000</v>
      </c>
      <c r="P4" s="65">
        <f>Table2245789101123456789101112131415161718[[#This Row],[PEMBULATAN]]*O4</f>
        <v>77805</v>
      </c>
    </row>
    <row r="5" spans="1:16" ht="31.5" customHeight="1" x14ac:dyDescent="0.2">
      <c r="A5" s="14"/>
      <c r="B5" s="74"/>
      <c r="C5" s="95" t="s">
        <v>366</v>
      </c>
      <c r="D5" s="96" t="s">
        <v>83</v>
      </c>
      <c r="E5" s="97">
        <v>44481</v>
      </c>
      <c r="F5" s="98" t="s">
        <v>84</v>
      </c>
      <c r="G5" s="97" t="s">
        <v>363</v>
      </c>
      <c r="H5" s="99" t="s">
        <v>364</v>
      </c>
      <c r="I5" s="100">
        <v>48</v>
      </c>
      <c r="J5" s="100">
        <v>37</v>
      </c>
      <c r="K5" s="100">
        <v>21</v>
      </c>
      <c r="L5" s="100">
        <v>8</v>
      </c>
      <c r="M5" s="101">
        <v>9.3239999999999998</v>
      </c>
      <c r="N5" s="107">
        <v>10</v>
      </c>
      <c r="O5" s="64">
        <v>7000</v>
      </c>
      <c r="P5" s="65">
        <f>Table2245789101123456789101112131415161718[[#This Row],[PEMBULATAN]]*O5</f>
        <v>70000</v>
      </c>
    </row>
    <row r="6" spans="1:16" ht="31.5" customHeight="1" x14ac:dyDescent="0.2">
      <c r="A6" s="14"/>
      <c r="B6" s="74"/>
      <c r="C6" s="95" t="s">
        <v>367</v>
      </c>
      <c r="D6" s="96" t="s">
        <v>83</v>
      </c>
      <c r="E6" s="97">
        <v>44481</v>
      </c>
      <c r="F6" s="98" t="s">
        <v>84</v>
      </c>
      <c r="G6" s="97" t="s">
        <v>363</v>
      </c>
      <c r="H6" s="99" t="s">
        <v>364</v>
      </c>
      <c r="I6" s="100">
        <v>54</v>
      </c>
      <c r="J6" s="100">
        <v>41</v>
      </c>
      <c r="K6" s="100">
        <v>22</v>
      </c>
      <c r="L6" s="100">
        <v>13</v>
      </c>
      <c r="M6" s="101">
        <v>12.177</v>
      </c>
      <c r="N6" s="107">
        <v>13</v>
      </c>
      <c r="O6" s="64">
        <v>7000</v>
      </c>
      <c r="P6" s="65">
        <f>Table2245789101123456789101112131415161718[[#This Row],[PEMBULATAN]]*O6</f>
        <v>91000</v>
      </c>
    </row>
    <row r="7" spans="1:16" ht="31.5" customHeight="1" x14ac:dyDescent="0.2">
      <c r="A7" s="14"/>
      <c r="B7" s="74"/>
      <c r="C7" s="95" t="s">
        <v>368</v>
      </c>
      <c r="D7" s="96" t="s">
        <v>83</v>
      </c>
      <c r="E7" s="97">
        <v>44481</v>
      </c>
      <c r="F7" s="98" t="s">
        <v>84</v>
      </c>
      <c r="G7" s="97" t="s">
        <v>363</v>
      </c>
      <c r="H7" s="99" t="s">
        <v>364</v>
      </c>
      <c r="I7" s="100">
        <v>55</v>
      </c>
      <c r="J7" s="100">
        <v>40</v>
      </c>
      <c r="K7" s="100">
        <v>24</v>
      </c>
      <c r="L7" s="100">
        <v>8</v>
      </c>
      <c r="M7" s="101">
        <v>13.2</v>
      </c>
      <c r="N7" s="107">
        <v>13.2</v>
      </c>
      <c r="O7" s="64">
        <v>7000</v>
      </c>
      <c r="P7" s="65">
        <f>Table2245789101123456789101112131415161718[[#This Row],[PEMBULATAN]]*O7</f>
        <v>92400</v>
      </c>
    </row>
    <row r="8" spans="1:16" ht="31.5" customHeight="1" x14ac:dyDescent="0.2">
      <c r="A8" s="14"/>
      <c r="B8" s="74"/>
      <c r="C8" s="95" t="s">
        <v>369</v>
      </c>
      <c r="D8" s="96" t="s">
        <v>83</v>
      </c>
      <c r="E8" s="97">
        <v>44481</v>
      </c>
      <c r="F8" s="98" t="s">
        <v>84</v>
      </c>
      <c r="G8" s="97" t="s">
        <v>363</v>
      </c>
      <c r="H8" s="99" t="s">
        <v>364</v>
      </c>
      <c r="I8" s="100">
        <v>40</v>
      </c>
      <c r="J8" s="100">
        <v>32</v>
      </c>
      <c r="K8" s="100">
        <v>24</v>
      </c>
      <c r="L8" s="100">
        <v>8</v>
      </c>
      <c r="M8" s="101">
        <v>7.68</v>
      </c>
      <c r="N8" s="107">
        <v>8</v>
      </c>
      <c r="O8" s="64">
        <v>7000</v>
      </c>
      <c r="P8" s="65">
        <f>Table2245789101123456789101112131415161718[[#This Row],[PEMBULATAN]]*O8</f>
        <v>56000</v>
      </c>
    </row>
    <row r="9" spans="1:16" ht="31.5" customHeight="1" x14ac:dyDescent="0.2">
      <c r="A9" s="14"/>
      <c r="B9" s="74"/>
      <c r="C9" s="95" t="s">
        <v>370</v>
      </c>
      <c r="D9" s="96" t="s">
        <v>83</v>
      </c>
      <c r="E9" s="97">
        <v>44481</v>
      </c>
      <c r="F9" s="98" t="s">
        <v>84</v>
      </c>
      <c r="G9" s="97" t="s">
        <v>363</v>
      </c>
      <c r="H9" s="99" t="s">
        <v>364</v>
      </c>
      <c r="I9" s="100">
        <v>43</v>
      </c>
      <c r="J9" s="100">
        <v>33</v>
      </c>
      <c r="K9" s="100">
        <v>37</v>
      </c>
      <c r="L9" s="100">
        <v>10</v>
      </c>
      <c r="M9" s="101">
        <v>13.12575</v>
      </c>
      <c r="N9" s="107">
        <v>13.12575</v>
      </c>
      <c r="O9" s="64">
        <v>7000</v>
      </c>
      <c r="P9" s="65">
        <f>Table2245789101123456789101112131415161718[[#This Row],[PEMBULATAN]]*O9</f>
        <v>91880.25</v>
      </c>
    </row>
    <row r="10" spans="1:16" ht="31.5" customHeight="1" x14ac:dyDescent="0.2">
      <c r="A10" s="14"/>
      <c r="B10" s="74"/>
      <c r="C10" s="95" t="s">
        <v>371</v>
      </c>
      <c r="D10" s="96" t="s">
        <v>83</v>
      </c>
      <c r="E10" s="97">
        <v>44481</v>
      </c>
      <c r="F10" s="98" t="s">
        <v>84</v>
      </c>
      <c r="G10" s="97" t="s">
        <v>363</v>
      </c>
      <c r="H10" s="99" t="s">
        <v>364</v>
      </c>
      <c r="I10" s="100">
        <v>37</v>
      </c>
      <c r="J10" s="100">
        <v>37</v>
      </c>
      <c r="K10" s="100">
        <v>18</v>
      </c>
      <c r="L10" s="100">
        <v>13</v>
      </c>
      <c r="M10" s="101">
        <v>6.1604999999999999</v>
      </c>
      <c r="N10" s="107">
        <v>13</v>
      </c>
      <c r="O10" s="64">
        <v>7000</v>
      </c>
      <c r="P10" s="65">
        <f>Table2245789101123456789101112131415161718[[#This Row],[PEMBULATAN]]*O10</f>
        <v>91000</v>
      </c>
    </row>
    <row r="11" spans="1:16" ht="31.5" customHeight="1" x14ac:dyDescent="0.2">
      <c r="A11" s="14"/>
      <c r="B11" s="74"/>
      <c r="C11" s="95" t="s">
        <v>372</v>
      </c>
      <c r="D11" s="96" t="s">
        <v>83</v>
      </c>
      <c r="E11" s="97">
        <v>44481</v>
      </c>
      <c r="F11" s="98" t="s">
        <v>84</v>
      </c>
      <c r="G11" s="97" t="s">
        <v>363</v>
      </c>
      <c r="H11" s="99" t="s">
        <v>364</v>
      </c>
      <c r="I11" s="100">
        <v>90</v>
      </c>
      <c r="J11" s="100">
        <v>61</v>
      </c>
      <c r="K11" s="100">
        <v>20</v>
      </c>
      <c r="L11" s="100">
        <v>17</v>
      </c>
      <c r="M11" s="101">
        <v>27.45</v>
      </c>
      <c r="N11" s="107">
        <v>28</v>
      </c>
      <c r="O11" s="64">
        <v>7000</v>
      </c>
      <c r="P11" s="65">
        <f>Table2245789101123456789101112131415161718[[#This Row],[PEMBULATAN]]*O11</f>
        <v>196000</v>
      </c>
    </row>
    <row r="12" spans="1:16" ht="31.5" customHeight="1" x14ac:dyDescent="0.2">
      <c r="A12" s="14"/>
      <c r="B12" s="74"/>
      <c r="C12" s="95" t="s">
        <v>373</v>
      </c>
      <c r="D12" s="96" t="s">
        <v>83</v>
      </c>
      <c r="E12" s="97">
        <v>44481</v>
      </c>
      <c r="F12" s="98" t="s">
        <v>84</v>
      </c>
      <c r="G12" s="97" t="s">
        <v>363</v>
      </c>
      <c r="H12" s="99" t="s">
        <v>364</v>
      </c>
      <c r="I12" s="100">
        <v>45</v>
      </c>
      <c r="J12" s="100">
        <v>35</v>
      </c>
      <c r="K12" s="100">
        <v>42</v>
      </c>
      <c r="L12" s="100">
        <v>8</v>
      </c>
      <c r="M12" s="101">
        <v>16.537500000000001</v>
      </c>
      <c r="N12" s="107">
        <v>16.537500000000001</v>
      </c>
      <c r="O12" s="64">
        <v>7000</v>
      </c>
      <c r="P12" s="65">
        <f>Table2245789101123456789101112131415161718[[#This Row],[PEMBULATAN]]*O12</f>
        <v>115762.50000000001</v>
      </c>
    </row>
    <row r="13" spans="1:16" ht="31.5" customHeight="1" x14ac:dyDescent="0.2">
      <c r="A13" s="14"/>
      <c r="B13" s="74"/>
      <c r="C13" s="95" t="s">
        <v>374</v>
      </c>
      <c r="D13" s="96" t="s">
        <v>83</v>
      </c>
      <c r="E13" s="97">
        <v>44481</v>
      </c>
      <c r="F13" s="98" t="s">
        <v>84</v>
      </c>
      <c r="G13" s="97" t="s">
        <v>363</v>
      </c>
      <c r="H13" s="99" t="s">
        <v>364</v>
      </c>
      <c r="I13" s="100">
        <v>58</v>
      </c>
      <c r="J13" s="100">
        <v>37</v>
      </c>
      <c r="K13" s="100">
        <v>27</v>
      </c>
      <c r="L13" s="100">
        <v>15</v>
      </c>
      <c r="M13" s="101">
        <v>14.4855</v>
      </c>
      <c r="N13" s="107">
        <v>15</v>
      </c>
      <c r="O13" s="64">
        <v>7000</v>
      </c>
      <c r="P13" s="65">
        <f>Table2245789101123456789101112131415161718[[#This Row],[PEMBULATAN]]*O13</f>
        <v>105000</v>
      </c>
    </row>
    <row r="14" spans="1:16" ht="31.5" customHeight="1" x14ac:dyDescent="0.2">
      <c r="A14" s="14"/>
      <c r="B14" s="74"/>
      <c r="C14" s="95" t="s">
        <v>375</v>
      </c>
      <c r="D14" s="96" t="s">
        <v>83</v>
      </c>
      <c r="E14" s="97">
        <v>44481</v>
      </c>
      <c r="F14" s="98" t="s">
        <v>84</v>
      </c>
      <c r="G14" s="97" t="s">
        <v>363</v>
      </c>
      <c r="H14" s="99" t="s">
        <v>364</v>
      </c>
      <c r="I14" s="100">
        <v>56</v>
      </c>
      <c r="J14" s="100">
        <v>41</v>
      </c>
      <c r="K14" s="100">
        <v>31</v>
      </c>
      <c r="L14" s="100">
        <v>8</v>
      </c>
      <c r="M14" s="101">
        <v>17.794</v>
      </c>
      <c r="N14" s="107">
        <v>17.794</v>
      </c>
      <c r="O14" s="64">
        <v>7000</v>
      </c>
      <c r="P14" s="65">
        <f>Table2245789101123456789101112131415161718[[#This Row],[PEMBULATAN]]*O14</f>
        <v>124558</v>
      </c>
    </row>
    <row r="15" spans="1:16" ht="31.5" customHeight="1" x14ac:dyDescent="0.2">
      <c r="A15" s="14"/>
      <c r="B15" s="74"/>
      <c r="C15" s="95" t="s">
        <v>376</v>
      </c>
      <c r="D15" s="96" t="s">
        <v>83</v>
      </c>
      <c r="E15" s="97">
        <v>44481</v>
      </c>
      <c r="F15" s="98" t="s">
        <v>84</v>
      </c>
      <c r="G15" s="97" t="s">
        <v>363</v>
      </c>
      <c r="H15" s="99" t="s">
        <v>364</v>
      </c>
      <c r="I15" s="100">
        <v>62</v>
      </c>
      <c r="J15" s="100">
        <v>40</v>
      </c>
      <c r="K15" s="100">
        <v>13</v>
      </c>
      <c r="L15" s="100">
        <v>4</v>
      </c>
      <c r="M15" s="101">
        <v>8.06</v>
      </c>
      <c r="N15" s="107">
        <v>8.06</v>
      </c>
      <c r="O15" s="64">
        <v>7000</v>
      </c>
      <c r="P15" s="65">
        <f>Table2245789101123456789101112131415161718[[#This Row],[PEMBULATAN]]*O15</f>
        <v>56420</v>
      </c>
    </row>
    <row r="16" spans="1:16" ht="31.5" customHeight="1" x14ac:dyDescent="0.2">
      <c r="A16" s="14"/>
      <c r="B16" s="74"/>
      <c r="C16" s="95" t="s">
        <v>377</v>
      </c>
      <c r="D16" s="96" t="s">
        <v>83</v>
      </c>
      <c r="E16" s="97">
        <v>44481</v>
      </c>
      <c r="F16" s="98" t="s">
        <v>84</v>
      </c>
      <c r="G16" s="97" t="s">
        <v>363</v>
      </c>
      <c r="H16" s="99" t="s">
        <v>364</v>
      </c>
      <c r="I16" s="100">
        <v>150</v>
      </c>
      <c r="J16" s="100">
        <v>10</v>
      </c>
      <c r="K16" s="100">
        <v>10</v>
      </c>
      <c r="L16" s="100">
        <v>12</v>
      </c>
      <c r="M16" s="101">
        <v>3.75</v>
      </c>
      <c r="N16" s="107">
        <v>12</v>
      </c>
      <c r="O16" s="64">
        <v>7000</v>
      </c>
      <c r="P16" s="65">
        <f>Table2245789101123456789101112131415161718[[#This Row],[PEMBULATAN]]*O16</f>
        <v>84000</v>
      </c>
    </row>
    <row r="17" spans="1:16" ht="31.5" customHeight="1" x14ac:dyDescent="0.2">
      <c r="A17" s="14"/>
      <c r="B17" s="74"/>
      <c r="C17" s="95" t="s">
        <v>378</v>
      </c>
      <c r="D17" s="96" t="s">
        <v>83</v>
      </c>
      <c r="E17" s="97">
        <v>44481</v>
      </c>
      <c r="F17" s="98" t="s">
        <v>84</v>
      </c>
      <c r="G17" s="97" t="s">
        <v>363</v>
      </c>
      <c r="H17" s="99" t="s">
        <v>364</v>
      </c>
      <c r="I17" s="100">
        <v>40</v>
      </c>
      <c r="J17" s="100">
        <v>28</v>
      </c>
      <c r="K17" s="100">
        <v>32</v>
      </c>
      <c r="L17" s="100">
        <v>9</v>
      </c>
      <c r="M17" s="101">
        <v>8.9600000000000009</v>
      </c>
      <c r="N17" s="107">
        <v>9</v>
      </c>
      <c r="O17" s="64">
        <v>7000</v>
      </c>
      <c r="P17" s="65">
        <f>Table2245789101123456789101112131415161718[[#This Row],[PEMBULATAN]]*O17</f>
        <v>63000</v>
      </c>
    </row>
    <row r="18" spans="1:16" ht="31.5" customHeight="1" x14ac:dyDescent="0.2">
      <c r="A18" s="14"/>
      <c r="B18" s="74"/>
      <c r="C18" s="95" t="s">
        <v>379</v>
      </c>
      <c r="D18" s="96" t="s">
        <v>83</v>
      </c>
      <c r="E18" s="97">
        <v>44481</v>
      </c>
      <c r="F18" s="98" t="s">
        <v>84</v>
      </c>
      <c r="G18" s="97" t="s">
        <v>363</v>
      </c>
      <c r="H18" s="99" t="s">
        <v>364</v>
      </c>
      <c r="I18" s="100">
        <v>82</v>
      </c>
      <c r="J18" s="100">
        <v>61</v>
      </c>
      <c r="K18" s="100">
        <v>24</v>
      </c>
      <c r="L18" s="100">
        <v>10</v>
      </c>
      <c r="M18" s="101">
        <v>30.012</v>
      </c>
      <c r="N18" s="107">
        <v>30.012</v>
      </c>
      <c r="O18" s="64">
        <v>7000</v>
      </c>
      <c r="P18" s="65">
        <f>Table2245789101123456789101112131415161718[[#This Row],[PEMBULATAN]]*O18</f>
        <v>210084</v>
      </c>
    </row>
    <row r="19" spans="1:16" ht="31.5" customHeight="1" x14ac:dyDescent="0.2">
      <c r="A19" s="14"/>
      <c r="B19" s="74"/>
      <c r="C19" s="95" t="s">
        <v>380</v>
      </c>
      <c r="D19" s="96" t="s">
        <v>83</v>
      </c>
      <c r="E19" s="97">
        <v>44481</v>
      </c>
      <c r="F19" s="98" t="s">
        <v>84</v>
      </c>
      <c r="G19" s="97" t="s">
        <v>363</v>
      </c>
      <c r="H19" s="99" t="s">
        <v>364</v>
      </c>
      <c r="I19" s="100">
        <v>26</v>
      </c>
      <c r="J19" s="100">
        <v>17</v>
      </c>
      <c r="K19" s="100">
        <v>10</v>
      </c>
      <c r="L19" s="100">
        <v>23</v>
      </c>
      <c r="M19" s="101">
        <v>1.105</v>
      </c>
      <c r="N19" s="107">
        <v>23</v>
      </c>
      <c r="O19" s="64">
        <v>7000</v>
      </c>
      <c r="P19" s="65">
        <f>Table2245789101123456789101112131415161718[[#This Row],[PEMBULATAN]]*O19</f>
        <v>161000</v>
      </c>
    </row>
    <row r="20" spans="1:16" ht="31.5" customHeight="1" x14ac:dyDescent="0.2">
      <c r="A20" s="14"/>
      <c r="B20" s="74"/>
      <c r="C20" s="95" t="s">
        <v>381</v>
      </c>
      <c r="D20" s="96" t="s">
        <v>83</v>
      </c>
      <c r="E20" s="97">
        <v>44481</v>
      </c>
      <c r="F20" s="98" t="s">
        <v>84</v>
      </c>
      <c r="G20" s="97" t="s">
        <v>363</v>
      </c>
      <c r="H20" s="99" t="s">
        <v>364</v>
      </c>
      <c r="I20" s="100">
        <v>26</v>
      </c>
      <c r="J20" s="100">
        <v>17</v>
      </c>
      <c r="K20" s="100">
        <v>10</v>
      </c>
      <c r="L20" s="100">
        <v>23</v>
      </c>
      <c r="M20" s="101">
        <v>1.105</v>
      </c>
      <c r="N20" s="107">
        <v>23</v>
      </c>
      <c r="O20" s="64">
        <v>7000</v>
      </c>
      <c r="P20" s="65">
        <f>Table2245789101123456789101112131415161718[[#This Row],[PEMBULATAN]]*O20</f>
        <v>161000</v>
      </c>
    </row>
    <row r="21" spans="1:16" ht="31.5" customHeight="1" x14ac:dyDescent="0.2">
      <c r="A21" s="14"/>
      <c r="B21" s="74"/>
      <c r="C21" s="95" t="s">
        <v>382</v>
      </c>
      <c r="D21" s="96" t="s">
        <v>83</v>
      </c>
      <c r="E21" s="97">
        <v>44481</v>
      </c>
      <c r="F21" s="98" t="s">
        <v>84</v>
      </c>
      <c r="G21" s="97" t="s">
        <v>363</v>
      </c>
      <c r="H21" s="99" t="s">
        <v>364</v>
      </c>
      <c r="I21" s="100">
        <v>31</v>
      </c>
      <c r="J21" s="100">
        <v>16</v>
      </c>
      <c r="K21" s="100">
        <v>10</v>
      </c>
      <c r="L21" s="100">
        <v>28</v>
      </c>
      <c r="M21" s="101">
        <v>1.24</v>
      </c>
      <c r="N21" s="107">
        <v>28</v>
      </c>
      <c r="O21" s="64">
        <v>7000</v>
      </c>
      <c r="P21" s="65">
        <f>Table2245789101123456789101112131415161718[[#This Row],[PEMBULATAN]]*O21</f>
        <v>196000</v>
      </c>
    </row>
    <row r="22" spans="1:16" ht="31.5" customHeight="1" x14ac:dyDescent="0.2">
      <c r="A22" s="14"/>
      <c r="B22" s="74"/>
      <c r="C22" s="95" t="s">
        <v>383</v>
      </c>
      <c r="D22" s="96" t="s">
        <v>83</v>
      </c>
      <c r="E22" s="97">
        <v>44481</v>
      </c>
      <c r="F22" s="98" t="s">
        <v>84</v>
      </c>
      <c r="G22" s="97" t="s">
        <v>363</v>
      </c>
      <c r="H22" s="99" t="s">
        <v>364</v>
      </c>
      <c r="I22" s="100">
        <v>65</v>
      </c>
      <c r="J22" s="100">
        <v>50</v>
      </c>
      <c r="K22" s="100">
        <v>37</v>
      </c>
      <c r="L22" s="100">
        <v>25</v>
      </c>
      <c r="M22" s="101">
        <v>30.0625</v>
      </c>
      <c r="N22" s="107">
        <v>30.0625</v>
      </c>
      <c r="O22" s="64">
        <v>7000</v>
      </c>
      <c r="P22" s="65">
        <f>Table2245789101123456789101112131415161718[[#This Row],[PEMBULATAN]]*O22</f>
        <v>210437.5</v>
      </c>
    </row>
    <row r="23" spans="1:16" ht="31.5" customHeight="1" x14ac:dyDescent="0.2">
      <c r="A23" s="14"/>
      <c r="B23" s="74"/>
      <c r="C23" s="95" t="s">
        <v>384</v>
      </c>
      <c r="D23" s="96" t="s">
        <v>83</v>
      </c>
      <c r="E23" s="97">
        <v>44481</v>
      </c>
      <c r="F23" s="98" t="s">
        <v>84</v>
      </c>
      <c r="G23" s="97" t="s">
        <v>363</v>
      </c>
      <c r="H23" s="99" t="s">
        <v>364</v>
      </c>
      <c r="I23" s="100">
        <v>35</v>
      </c>
      <c r="J23" s="100">
        <v>38</v>
      </c>
      <c r="K23" s="100">
        <v>38</v>
      </c>
      <c r="L23" s="100">
        <v>5</v>
      </c>
      <c r="M23" s="101">
        <v>12.635</v>
      </c>
      <c r="N23" s="107">
        <v>12.635</v>
      </c>
      <c r="O23" s="64">
        <v>7000</v>
      </c>
      <c r="P23" s="65">
        <f>Table2245789101123456789101112131415161718[[#This Row],[PEMBULATAN]]*O23</f>
        <v>88445</v>
      </c>
    </row>
    <row r="24" spans="1:16" ht="31.5" customHeight="1" x14ac:dyDescent="0.2">
      <c r="A24" s="14"/>
      <c r="B24" s="74"/>
      <c r="C24" s="95" t="s">
        <v>385</v>
      </c>
      <c r="D24" s="96" t="s">
        <v>83</v>
      </c>
      <c r="E24" s="97">
        <v>44481</v>
      </c>
      <c r="F24" s="98" t="s">
        <v>84</v>
      </c>
      <c r="G24" s="97" t="s">
        <v>363</v>
      </c>
      <c r="H24" s="99" t="s">
        <v>364</v>
      </c>
      <c r="I24" s="100">
        <v>60</v>
      </c>
      <c r="J24" s="100">
        <v>37</v>
      </c>
      <c r="K24" s="100">
        <v>34</v>
      </c>
      <c r="L24" s="100">
        <v>24</v>
      </c>
      <c r="M24" s="101">
        <v>18.87</v>
      </c>
      <c r="N24" s="107">
        <v>24</v>
      </c>
      <c r="O24" s="64">
        <v>7000</v>
      </c>
      <c r="P24" s="65">
        <f>Table2245789101123456789101112131415161718[[#This Row],[PEMBULATAN]]*O24</f>
        <v>168000</v>
      </c>
    </row>
    <row r="25" spans="1:16" ht="31.5" customHeight="1" x14ac:dyDescent="0.2">
      <c r="A25" s="14"/>
      <c r="B25" s="74"/>
      <c r="C25" s="95" t="s">
        <v>386</v>
      </c>
      <c r="D25" s="96" t="s">
        <v>83</v>
      </c>
      <c r="E25" s="97">
        <v>44481</v>
      </c>
      <c r="F25" s="98" t="s">
        <v>84</v>
      </c>
      <c r="G25" s="97" t="s">
        <v>363</v>
      </c>
      <c r="H25" s="99" t="s">
        <v>364</v>
      </c>
      <c r="I25" s="100">
        <v>62</v>
      </c>
      <c r="J25" s="100">
        <v>62</v>
      </c>
      <c r="K25" s="100">
        <v>47</v>
      </c>
      <c r="L25" s="100">
        <v>35</v>
      </c>
      <c r="M25" s="101">
        <v>45.167000000000002</v>
      </c>
      <c r="N25" s="107">
        <v>45.167000000000002</v>
      </c>
      <c r="O25" s="64">
        <v>7000</v>
      </c>
      <c r="P25" s="65">
        <f>Table2245789101123456789101112131415161718[[#This Row],[PEMBULATAN]]*O25</f>
        <v>316169</v>
      </c>
    </row>
    <row r="26" spans="1:16" ht="31.5" customHeight="1" x14ac:dyDescent="0.2">
      <c r="A26" s="14"/>
      <c r="B26" s="74"/>
      <c r="C26" s="95" t="s">
        <v>387</v>
      </c>
      <c r="D26" s="96" t="s">
        <v>83</v>
      </c>
      <c r="E26" s="97">
        <v>44481</v>
      </c>
      <c r="F26" s="98" t="s">
        <v>84</v>
      </c>
      <c r="G26" s="97" t="s">
        <v>363</v>
      </c>
      <c r="H26" s="99" t="s">
        <v>364</v>
      </c>
      <c r="I26" s="100">
        <v>62</v>
      </c>
      <c r="J26" s="100">
        <v>62</v>
      </c>
      <c r="K26" s="100">
        <v>47</v>
      </c>
      <c r="L26" s="100">
        <v>35</v>
      </c>
      <c r="M26" s="101">
        <v>45.167000000000002</v>
      </c>
      <c r="N26" s="107">
        <v>45.167000000000002</v>
      </c>
      <c r="O26" s="64">
        <v>7000</v>
      </c>
      <c r="P26" s="65">
        <f>Table2245789101123456789101112131415161718[[#This Row],[PEMBULATAN]]*O26</f>
        <v>316169</v>
      </c>
    </row>
    <row r="27" spans="1:16" ht="31.5" customHeight="1" x14ac:dyDescent="0.2">
      <c r="A27" s="14"/>
      <c r="B27" s="74"/>
      <c r="C27" s="95" t="s">
        <v>388</v>
      </c>
      <c r="D27" s="96" t="s">
        <v>83</v>
      </c>
      <c r="E27" s="97">
        <v>44481</v>
      </c>
      <c r="F27" s="98" t="s">
        <v>84</v>
      </c>
      <c r="G27" s="97" t="s">
        <v>363</v>
      </c>
      <c r="H27" s="99" t="s">
        <v>364</v>
      </c>
      <c r="I27" s="100">
        <v>80</v>
      </c>
      <c r="J27" s="100">
        <v>52</v>
      </c>
      <c r="K27" s="100">
        <v>37</v>
      </c>
      <c r="L27" s="100">
        <v>12</v>
      </c>
      <c r="M27" s="101">
        <v>38.479999999999997</v>
      </c>
      <c r="N27" s="107">
        <v>39</v>
      </c>
      <c r="O27" s="64">
        <v>7000</v>
      </c>
      <c r="P27" s="65">
        <f>Table2245789101123456789101112131415161718[[#This Row],[PEMBULATAN]]*O27</f>
        <v>273000</v>
      </c>
    </row>
    <row r="28" spans="1:16" ht="31.5" customHeight="1" x14ac:dyDescent="0.2">
      <c r="A28" s="14"/>
      <c r="B28" s="74"/>
      <c r="C28" s="95" t="s">
        <v>389</v>
      </c>
      <c r="D28" s="96" t="s">
        <v>83</v>
      </c>
      <c r="E28" s="97">
        <v>44481</v>
      </c>
      <c r="F28" s="98" t="s">
        <v>84</v>
      </c>
      <c r="G28" s="97" t="s">
        <v>363</v>
      </c>
      <c r="H28" s="99" t="s">
        <v>364</v>
      </c>
      <c r="I28" s="100">
        <v>142</v>
      </c>
      <c r="J28" s="100">
        <v>50</v>
      </c>
      <c r="K28" s="100">
        <v>75</v>
      </c>
      <c r="L28" s="100">
        <v>12</v>
      </c>
      <c r="M28" s="101">
        <v>133.125</v>
      </c>
      <c r="N28" s="107">
        <v>133.125</v>
      </c>
      <c r="O28" s="64">
        <v>7000</v>
      </c>
      <c r="P28" s="65">
        <f>Table2245789101123456789101112131415161718[[#This Row],[PEMBULATAN]]*O28</f>
        <v>931875</v>
      </c>
    </row>
    <row r="29" spans="1:16" ht="22.5" customHeight="1" x14ac:dyDescent="0.2">
      <c r="A29" s="143" t="s">
        <v>30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5"/>
      <c r="M29" s="78">
        <f>SUBTOTAL(109,Table2245789101123456789101112131415161718[KG VOLUME])</f>
        <v>529.09775000000002</v>
      </c>
      <c r="N29" s="68">
        <f>SUM(N3:N28)</f>
        <v>636.00075000000004</v>
      </c>
      <c r="O29" s="146">
        <f>SUM(P3:P28)</f>
        <v>4452005.25</v>
      </c>
      <c r="P29" s="147"/>
    </row>
    <row r="30" spans="1:16" ht="18" customHeight="1" x14ac:dyDescent="0.2">
      <c r="A30" s="85"/>
      <c r="B30" s="56" t="s">
        <v>42</v>
      </c>
      <c r="C30" s="55"/>
      <c r="D30" s="57" t="s">
        <v>43</v>
      </c>
      <c r="E30" s="85"/>
      <c r="F30" s="85"/>
      <c r="G30" s="85"/>
      <c r="H30" s="85"/>
      <c r="I30" s="85"/>
      <c r="J30" s="85"/>
      <c r="K30" s="85"/>
      <c r="L30" s="85"/>
      <c r="M30" s="86"/>
      <c r="N30" s="87" t="s">
        <v>52</v>
      </c>
      <c r="O30" s="88"/>
      <c r="P30" s="88">
        <v>0</v>
      </c>
    </row>
    <row r="31" spans="1:16" ht="18" customHeight="1" thickBot="1" x14ac:dyDescent="0.25">
      <c r="A31" s="85"/>
      <c r="B31" s="56"/>
      <c r="C31" s="55"/>
      <c r="D31" s="57"/>
      <c r="E31" s="85"/>
      <c r="F31" s="85"/>
      <c r="G31" s="85"/>
      <c r="H31" s="85"/>
      <c r="I31" s="85"/>
      <c r="J31" s="85"/>
      <c r="K31" s="85"/>
      <c r="L31" s="85"/>
      <c r="M31" s="86"/>
      <c r="N31" s="89" t="s">
        <v>53</v>
      </c>
      <c r="O31" s="90"/>
      <c r="P31" s="90">
        <f>O29-P30</f>
        <v>4452005.25</v>
      </c>
    </row>
    <row r="32" spans="1:16" ht="18" customHeight="1" x14ac:dyDescent="0.2">
      <c r="A32" s="11"/>
      <c r="H32" s="63"/>
      <c r="N32" s="62" t="s">
        <v>31</v>
      </c>
      <c r="P32" s="69">
        <f>P31*1%</f>
        <v>44520.052499999998</v>
      </c>
    </row>
    <row r="33" spans="1:16" ht="18" customHeight="1" thickBot="1" x14ac:dyDescent="0.25">
      <c r="A33" s="11"/>
      <c r="H33" s="63"/>
      <c r="N33" s="62" t="s">
        <v>54</v>
      </c>
      <c r="P33" s="71">
        <f>P31*2%</f>
        <v>89040.104999999996</v>
      </c>
    </row>
    <row r="34" spans="1:16" ht="18" customHeight="1" x14ac:dyDescent="0.2">
      <c r="A34" s="11"/>
      <c r="H34" s="63"/>
      <c r="N34" s="66" t="s">
        <v>32</v>
      </c>
      <c r="O34" s="67"/>
      <c r="P34" s="70">
        <f>P31+P32-P33</f>
        <v>4407485.1974999998</v>
      </c>
    </row>
    <row r="36" spans="1:16" x14ac:dyDescent="0.2">
      <c r="A36" s="11"/>
      <c r="H36" s="63"/>
      <c r="P36" s="71"/>
    </row>
    <row r="37" spans="1:16" x14ac:dyDescent="0.2">
      <c r="A37" s="11"/>
      <c r="H37" s="63"/>
      <c r="O37" s="58"/>
      <c r="P37" s="71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</sheetData>
  <mergeCells count="2">
    <mergeCell ref="A29:L29"/>
    <mergeCell ref="O29:P29"/>
  </mergeCells>
  <conditionalFormatting sqref="B3">
    <cfRule type="duplicateValues" dxfId="648" priority="2"/>
  </conditionalFormatting>
  <conditionalFormatting sqref="B4:B28">
    <cfRule type="duplicateValues" dxfId="647" priority="4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zoomScale="110" zoomScaleNormal="110" workbookViewId="0">
      <pane xSplit="3" ySplit="2" topLeftCell="D11" activePane="bottomRight" state="frozen"/>
      <selection pane="topRight" activeCell="B1" sqref="B1"/>
      <selection pane="bottomLeft" activeCell="A3" sqref="A3"/>
      <selection pane="bottomRight" activeCell="K14" sqref="K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402195</v>
      </c>
      <c r="B3" s="73" t="s">
        <v>390</v>
      </c>
      <c r="C3" s="9" t="s">
        <v>391</v>
      </c>
      <c r="D3" s="75" t="s">
        <v>83</v>
      </c>
      <c r="E3" s="13" t="s">
        <v>392</v>
      </c>
      <c r="F3" s="75" t="s">
        <v>84</v>
      </c>
      <c r="G3" s="13" t="s">
        <v>363</v>
      </c>
      <c r="H3" s="10" t="s">
        <v>364</v>
      </c>
      <c r="I3" s="1">
        <v>41</v>
      </c>
      <c r="J3" s="1">
        <v>27</v>
      </c>
      <c r="K3" s="1">
        <v>20</v>
      </c>
      <c r="L3" s="1">
        <v>10</v>
      </c>
      <c r="M3" s="79">
        <v>5.5350000000000001</v>
      </c>
      <c r="N3" s="103">
        <v>10</v>
      </c>
      <c r="O3" s="64">
        <v>7000</v>
      </c>
      <c r="P3" s="65">
        <f>Table224578910112345678910111213141516171819[[#This Row],[PEMBULATAN]]*O3</f>
        <v>70000</v>
      </c>
    </row>
    <row r="4" spans="1:16" ht="26.25" customHeight="1" x14ac:dyDescent="0.2">
      <c r="A4" s="14"/>
      <c r="B4" s="74"/>
      <c r="C4" s="9" t="s">
        <v>393</v>
      </c>
      <c r="D4" s="75" t="s">
        <v>83</v>
      </c>
      <c r="E4" s="13" t="s">
        <v>392</v>
      </c>
      <c r="F4" s="75" t="s">
        <v>84</v>
      </c>
      <c r="G4" s="13" t="s">
        <v>363</v>
      </c>
      <c r="H4" s="10" t="s">
        <v>364</v>
      </c>
      <c r="I4" s="1">
        <v>50</v>
      </c>
      <c r="J4" s="1">
        <v>47</v>
      </c>
      <c r="K4" s="1">
        <v>18</v>
      </c>
      <c r="L4" s="1">
        <v>5</v>
      </c>
      <c r="M4" s="79">
        <v>10.574999999999999</v>
      </c>
      <c r="N4" s="103">
        <v>10.574999999999999</v>
      </c>
      <c r="O4" s="64">
        <v>7000</v>
      </c>
      <c r="P4" s="65">
        <f>Table224578910112345678910111213141516171819[[#This Row],[PEMBULATAN]]*O4</f>
        <v>74025</v>
      </c>
    </row>
    <row r="5" spans="1:16" ht="26.25" customHeight="1" x14ac:dyDescent="0.2">
      <c r="A5" s="14"/>
      <c r="B5" s="74"/>
      <c r="C5" s="95" t="s">
        <v>394</v>
      </c>
      <c r="D5" s="96" t="s">
        <v>83</v>
      </c>
      <c r="E5" s="97" t="s">
        <v>392</v>
      </c>
      <c r="F5" s="98" t="s">
        <v>84</v>
      </c>
      <c r="G5" s="97" t="s">
        <v>363</v>
      </c>
      <c r="H5" s="99" t="s">
        <v>364</v>
      </c>
      <c r="I5" s="100">
        <v>52</v>
      </c>
      <c r="J5" s="100">
        <v>40</v>
      </c>
      <c r="K5" s="100">
        <v>30</v>
      </c>
      <c r="L5" s="100">
        <v>10</v>
      </c>
      <c r="M5" s="101">
        <v>15.6</v>
      </c>
      <c r="N5" s="107">
        <v>15.6</v>
      </c>
      <c r="O5" s="64">
        <v>7000</v>
      </c>
      <c r="P5" s="65">
        <f>Table224578910112345678910111213141516171819[[#This Row],[PEMBULATAN]]*O5</f>
        <v>109200</v>
      </c>
    </row>
    <row r="6" spans="1:16" ht="26.25" customHeight="1" x14ac:dyDescent="0.2">
      <c r="A6" s="14"/>
      <c r="B6" s="74"/>
      <c r="C6" s="95" t="s">
        <v>395</v>
      </c>
      <c r="D6" s="96" t="s">
        <v>83</v>
      </c>
      <c r="E6" s="97" t="s">
        <v>392</v>
      </c>
      <c r="F6" s="98" t="s">
        <v>84</v>
      </c>
      <c r="G6" s="97" t="s">
        <v>363</v>
      </c>
      <c r="H6" s="99" t="s">
        <v>364</v>
      </c>
      <c r="I6" s="100">
        <v>92</v>
      </c>
      <c r="J6" s="100">
        <v>85</v>
      </c>
      <c r="K6" s="100">
        <v>16</v>
      </c>
      <c r="L6" s="100">
        <v>15</v>
      </c>
      <c r="M6" s="101">
        <v>31.28</v>
      </c>
      <c r="N6" s="107">
        <v>31.28</v>
      </c>
      <c r="O6" s="64">
        <v>7000</v>
      </c>
      <c r="P6" s="65">
        <f>Table224578910112345678910111213141516171819[[#This Row],[PEMBULATAN]]*O6</f>
        <v>218960</v>
      </c>
    </row>
    <row r="7" spans="1:16" ht="26.25" customHeight="1" x14ac:dyDescent="0.2">
      <c r="A7" s="14"/>
      <c r="B7" s="74"/>
      <c r="C7" s="95" t="s">
        <v>396</v>
      </c>
      <c r="D7" s="96" t="s">
        <v>83</v>
      </c>
      <c r="E7" s="97" t="s">
        <v>392</v>
      </c>
      <c r="F7" s="98" t="s">
        <v>84</v>
      </c>
      <c r="G7" s="97" t="s">
        <v>363</v>
      </c>
      <c r="H7" s="99" t="s">
        <v>364</v>
      </c>
      <c r="I7" s="100">
        <v>31</v>
      </c>
      <c r="J7" s="100">
        <v>22</v>
      </c>
      <c r="K7" s="100">
        <v>19</v>
      </c>
      <c r="L7" s="100">
        <v>4</v>
      </c>
      <c r="M7" s="101">
        <v>3.2395</v>
      </c>
      <c r="N7" s="107">
        <v>4</v>
      </c>
      <c r="O7" s="64">
        <v>7000</v>
      </c>
      <c r="P7" s="65">
        <f>Table224578910112345678910111213141516171819[[#This Row],[PEMBULATAN]]*O7</f>
        <v>28000</v>
      </c>
    </row>
    <row r="8" spans="1:16" ht="26.25" customHeight="1" x14ac:dyDescent="0.2">
      <c r="A8" s="14"/>
      <c r="B8" s="74"/>
      <c r="C8" s="95" t="s">
        <v>397</v>
      </c>
      <c r="D8" s="96" t="s">
        <v>83</v>
      </c>
      <c r="E8" s="97" t="s">
        <v>392</v>
      </c>
      <c r="F8" s="98" t="s">
        <v>84</v>
      </c>
      <c r="G8" s="97" t="s">
        <v>363</v>
      </c>
      <c r="H8" s="99" t="s">
        <v>364</v>
      </c>
      <c r="I8" s="100">
        <v>92</v>
      </c>
      <c r="J8" s="100">
        <v>22</v>
      </c>
      <c r="K8" s="100">
        <v>18</v>
      </c>
      <c r="L8" s="100">
        <v>6</v>
      </c>
      <c r="M8" s="101">
        <v>9.1080000000000005</v>
      </c>
      <c r="N8" s="107">
        <v>9.1080000000000005</v>
      </c>
      <c r="O8" s="64">
        <v>7000</v>
      </c>
      <c r="P8" s="65">
        <f>Table224578910112345678910111213141516171819[[#This Row],[PEMBULATAN]]*O8</f>
        <v>63756.000000000007</v>
      </c>
    </row>
    <row r="9" spans="1:16" ht="26.25" customHeight="1" x14ac:dyDescent="0.2">
      <c r="A9" s="14"/>
      <c r="B9" s="74"/>
      <c r="C9" s="95" t="s">
        <v>398</v>
      </c>
      <c r="D9" s="96" t="s">
        <v>83</v>
      </c>
      <c r="E9" s="97" t="s">
        <v>392</v>
      </c>
      <c r="F9" s="98" t="s">
        <v>84</v>
      </c>
      <c r="G9" s="97" t="s">
        <v>363</v>
      </c>
      <c r="H9" s="99" t="s">
        <v>364</v>
      </c>
      <c r="I9" s="100">
        <v>53</v>
      </c>
      <c r="J9" s="100">
        <v>33</v>
      </c>
      <c r="K9" s="100">
        <v>30</v>
      </c>
      <c r="L9" s="100">
        <v>10</v>
      </c>
      <c r="M9" s="101">
        <v>13.1175</v>
      </c>
      <c r="N9" s="107">
        <v>13.1175</v>
      </c>
      <c r="O9" s="64">
        <v>7000</v>
      </c>
      <c r="P9" s="65">
        <f>Table224578910112345678910111213141516171819[[#This Row],[PEMBULATAN]]*O9</f>
        <v>91822.5</v>
      </c>
    </row>
    <row r="10" spans="1:16" ht="26.25" customHeight="1" x14ac:dyDescent="0.2">
      <c r="A10" s="14"/>
      <c r="B10" s="74"/>
      <c r="C10" s="95" t="s">
        <v>399</v>
      </c>
      <c r="D10" s="96" t="s">
        <v>83</v>
      </c>
      <c r="E10" s="97" t="s">
        <v>392</v>
      </c>
      <c r="F10" s="98" t="s">
        <v>84</v>
      </c>
      <c r="G10" s="97" t="s">
        <v>363</v>
      </c>
      <c r="H10" s="99" t="s">
        <v>364</v>
      </c>
      <c r="I10" s="100">
        <v>56</v>
      </c>
      <c r="J10" s="100">
        <v>31</v>
      </c>
      <c r="K10" s="100">
        <v>21</v>
      </c>
      <c r="L10" s="100">
        <v>7</v>
      </c>
      <c r="M10" s="101">
        <v>9.1140000000000008</v>
      </c>
      <c r="N10" s="107">
        <v>9.1140000000000008</v>
      </c>
      <c r="O10" s="64">
        <v>7000</v>
      </c>
      <c r="P10" s="65">
        <f>Table224578910112345678910111213141516171819[[#This Row],[PEMBULATAN]]*O10</f>
        <v>63798.000000000007</v>
      </c>
    </row>
    <row r="11" spans="1:16" ht="26.25" customHeight="1" x14ac:dyDescent="0.2">
      <c r="A11" s="14"/>
      <c r="B11" s="74"/>
      <c r="C11" s="95" t="s">
        <v>400</v>
      </c>
      <c r="D11" s="96" t="s">
        <v>83</v>
      </c>
      <c r="E11" s="97" t="s">
        <v>392</v>
      </c>
      <c r="F11" s="98" t="s">
        <v>84</v>
      </c>
      <c r="G11" s="97" t="s">
        <v>363</v>
      </c>
      <c r="H11" s="99" t="s">
        <v>364</v>
      </c>
      <c r="I11" s="100">
        <v>41</v>
      </c>
      <c r="J11" s="100">
        <v>23</v>
      </c>
      <c r="K11" s="100">
        <v>27</v>
      </c>
      <c r="L11" s="100">
        <v>9</v>
      </c>
      <c r="M11" s="101">
        <v>6.3652499999999996</v>
      </c>
      <c r="N11" s="107">
        <v>9</v>
      </c>
      <c r="O11" s="64">
        <v>7000</v>
      </c>
      <c r="P11" s="65">
        <f>Table224578910112345678910111213141516171819[[#This Row],[PEMBULATAN]]*O11</f>
        <v>63000</v>
      </c>
    </row>
    <row r="12" spans="1:16" ht="26.25" customHeight="1" x14ac:dyDescent="0.2">
      <c r="A12" s="14"/>
      <c r="B12" s="74"/>
      <c r="C12" s="95" t="s">
        <v>401</v>
      </c>
      <c r="D12" s="96" t="s">
        <v>83</v>
      </c>
      <c r="E12" s="97" t="s">
        <v>392</v>
      </c>
      <c r="F12" s="98" t="s">
        <v>84</v>
      </c>
      <c r="G12" s="97" t="s">
        <v>363</v>
      </c>
      <c r="H12" s="99" t="s">
        <v>364</v>
      </c>
      <c r="I12" s="100">
        <v>50</v>
      </c>
      <c r="J12" s="100">
        <v>43</v>
      </c>
      <c r="K12" s="100">
        <v>17</v>
      </c>
      <c r="L12" s="100">
        <v>7</v>
      </c>
      <c r="M12" s="101">
        <v>9.1374999999999993</v>
      </c>
      <c r="N12" s="107">
        <v>9.1374999999999993</v>
      </c>
      <c r="O12" s="64">
        <v>7000</v>
      </c>
      <c r="P12" s="65">
        <f>Table224578910112345678910111213141516171819[[#This Row],[PEMBULATAN]]*O12</f>
        <v>63962.499999999993</v>
      </c>
    </row>
    <row r="13" spans="1:16" ht="26.25" customHeight="1" x14ac:dyDescent="0.2">
      <c r="A13" s="14"/>
      <c r="B13" s="74"/>
      <c r="C13" s="95" t="s">
        <v>402</v>
      </c>
      <c r="D13" s="96" t="s">
        <v>83</v>
      </c>
      <c r="E13" s="97" t="s">
        <v>392</v>
      </c>
      <c r="F13" s="98" t="s">
        <v>84</v>
      </c>
      <c r="G13" s="97" t="s">
        <v>363</v>
      </c>
      <c r="H13" s="99" t="s">
        <v>364</v>
      </c>
      <c r="I13" s="100">
        <v>76</v>
      </c>
      <c r="J13" s="100">
        <v>20</v>
      </c>
      <c r="K13" s="100">
        <v>20</v>
      </c>
      <c r="L13" s="100">
        <v>18</v>
      </c>
      <c r="M13" s="101">
        <v>7.6</v>
      </c>
      <c r="N13" s="107">
        <v>18</v>
      </c>
      <c r="O13" s="64">
        <v>7000</v>
      </c>
      <c r="P13" s="65">
        <f>Table224578910112345678910111213141516171819[[#This Row],[PEMBULATAN]]*O13</f>
        <v>126000</v>
      </c>
    </row>
    <row r="14" spans="1:16" ht="26.25" customHeight="1" x14ac:dyDescent="0.2">
      <c r="A14" s="14"/>
      <c r="B14" s="74"/>
      <c r="C14" s="95" t="s">
        <v>403</v>
      </c>
      <c r="D14" s="96" t="s">
        <v>83</v>
      </c>
      <c r="E14" s="97" t="s">
        <v>392</v>
      </c>
      <c r="F14" s="98" t="s">
        <v>84</v>
      </c>
      <c r="G14" s="97" t="s">
        <v>363</v>
      </c>
      <c r="H14" s="99" t="s">
        <v>364</v>
      </c>
      <c r="I14" s="100">
        <v>120</v>
      </c>
      <c r="J14" s="100">
        <v>57</v>
      </c>
      <c r="K14" s="100">
        <v>20</v>
      </c>
      <c r="L14" s="100">
        <v>21</v>
      </c>
      <c r="M14" s="101">
        <v>34.200000000000003</v>
      </c>
      <c r="N14" s="107">
        <v>34.200000000000003</v>
      </c>
      <c r="O14" s="64">
        <v>7000</v>
      </c>
      <c r="P14" s="65">
        <f>Table224578910112345678910111213141516171819[[#This Row],[PEMBULATAN]]*O14</f>
        <v>239400.00000000003</v>
      </c>
    </row>
    <row r="15" spans="1:16" ht="26.25" customHeight="1" x14ac:dyDescent="0.2">
      <c r="A15" s="14"/>
      <c r="B15" s="108"/>
      <c r="C15" s="95" t="s">
        <v>404</v>
      </c>
      <c r="D15" s="96" t="s">
        <v>83</v>
      </c>
      <c r="E15" s="97" t="s">
        <v>392</v>
      </c>
      <c r="F15" s="98" t="s">
        <v>84</v>
      </c>
      <c r="G15" s="97" t="s">
        <v>363</v>
      </c>
      <c r="H15" s="99" t="s">
        <v>364</v>
      </c>
      <c r="I15" s="100">
        <v>274</v>
      </c>
      <c r="J15" s="100">
        <v>38</v>
      </c>
      <c r="K15" s="100">
        <v>16</v>
      </c>
      <c r="L15" s="100">
        <v>45</v>
      </c>
      <c r="M15" s="101">
        <v>41.648000000000003</v>
      </c>
      <c r="N15" s="107">
        <v>45</v>
      </c>
      <c r="O15" s="64">
        <v>7000</v>
      </c>
      <c r="P15" s="65">
        <f>Table224578910112345678910111213141516171819[[#This Row],[PEMBULATAN]]*O15</f>
        <v>315000</v>
      </c>
    </row>
    <row r="16" spans="1:16" ht="26.25" customHeight="1" x14ac:dyDescent="0.2">
      <c r="A16" s="14"/>
      <c r="B16" s="108" t="s">
        <v>405</v>
      </c>
      <c r="C16" s="95" t="s">
        <v>406</v>
      </c>
      <c r="D16" s="96" t="s">
        <v>83</v>
      </c>
      <c r="E16" s="97" t="s">
        <v>392</v>
      </c>
      <c r="F16" s="98" t="s">
        <v>84</v>
      </c>
      <c r="G16" s="97" t="s">
        <v>363</v>
      </c>
      <c r="H16" s="99" t="s">
        <v>364</v>
      </c>
      <c r="I16" s="100">
        <v>41</v>
      </c>
      <c r="J16" s="100">
        <v>31</v>
      </c>
      <c r="K16" s="100">
        <v>23</v>
      </c>
      <c r="L16" s="100">
        <v>7</v>
      </c>
      <c r="M16" s="101">
        <v>7.3082500000000001</v>
      </c>
      <c r="N16" s="107">
        <v>8</v>
      </c>
      <c r="O16" s="64">
        <v>7000</v>
      </c>
      <c r="P16" s="65">
        <f>Table224578910112345678910111213141516171819[[#This Row],[PEMBULATAN]]*O16</f>
        <v>56000</v>
      </c>
    </row>
    <row r="17" spans="1:16" ht="26.25" customHeight="1" x14ac:dyDescent="0.2">
      <c r="A17" s="14"/>
      <c r="B17" s="74" t="s">
        <v>407</v>
      </c>
      <c r="C17" s="95" t="s">
        <v>408</v>
      </c>
      <c r="D17" s="96" t="s">
        <v>83</v>
      </c>
      <c r="E17" s="97" t="s">
        <v>392</v>
      </c>
      <c r="F17" s="98" t="s">
        <v>84</v>
      </c>
      <c r="G17" s="97" t="s">
        <v>363</v>
      </c>
      <c r="H17" s="99" t="s">
        <v>364</v>
      </c>
      <c r="I17" s="100">
        <v>65</v>
      </c>
      <c r="J17" s="100">
        <v>37</v>
      </c>
      <c r="K17" s="100">
        <v>10</v>
      </c>
      <c r="L17" s="100">
        <v>6</v>
      </c>
      <c r="M17" s="101">
        <v>6.0125000000000002</v>
      </c>
      <c r="N17" s="107">
        <v>6.0125000000000002</v>
      </c>
      <c r="O17" s="64">
        <v>7000</v>
      </c>
      <c r="P17" s="65">
        <f>Table224578910112345678910111213141516171819[[#This Row],[PEMBULATAN]]*O17</f>
        <v>42087.5</v>
      </c>
    </row>
    <row r="18" spans="1:16" ht="22.5" customHeight="1" x14ac:dyDescent="0.2">
      <c r="A18" s="143" t="s">
        <v>30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5"/>
      <c r="M18" s="78">
        <f>SUBTOTAL(109,Table224578910112345678910111213141516171819[KG VOLUME])</f>
        <v>209.84049999999999</v>
      </c>
      <c r="N18" s="68">
        <f>SUM(N3:N17)</f>
        <v>232.14449999999999</v>
      </c>
      <c r="O18" s="146">
        <f>SUM(P3:P17)</f>
        <v>1625011.5</v>
      </c>
      <c r="P18" s="147"/>
    </row>
    <row r="19" spans="1:16" ht="18" customHeight="1" x14ac:dyDescent="0.2">
      <c r="A19" s="85"/>
      <c r="B19" s="56" t="s">
        <v>42</v>
      </c>
      <c r="C19" s="55"/>
      <c r="D19" s="57" t="s">
        <v>43</v>
      </c>
      <c r="E19" s="85"/>
      <c r="F19" s="85"/>
      <c r="G19" s="85"/>
      <c r="H19" s="85"/>
      <c r="I19" s="85"/>
      <c r="J19" s="85"/>
      <c r="K19" s="85"/>
      <c r="L19" s="85"/>
      <c r="M19" s="86"/>
      <c r="N19" s="87" t="s">
        <v>52</v>
      </c>
      <c r="O19" s="88"/>
      <c r="P19" s="88">
        <v>0</v>
      </c>
    </row>
    <row r="20" spans="1:16" ht="18" customHeight="1" thickBot="1" x14ac:dyDescent="0.25">
      <c r="A20" s="85"/>
      <c r="B20" s="56"/>
      <c r="C20" s="55"/>
      <c r="D20" s="57"/>
      <c r="E20" s="85"/>
      <c r="F20" s="85"/>
      <c r="G20" s="85"/>
      <c r="H20" s="85"/>
      <c r="I20" s="85"/>
      <c r="J20" s="85"/>
      <c r="K20" s="85"/>
      <c r="L20" s="85"/>
      <c r="M20" s="86"/>
      <c r="N20" s="89" t="s">
        <v>53</v>
      </c>
      <c r="O20" s="90"/>
      <c r="P20" s="90">
        <f>O18-P19</f>
        <v>1625011.5</v>
      </c>
    </row>
    <row r="21" spans="1:16" ht="18" customHeight="1" x14ac:dyDescent="0.2">
      <c r="A21" s="11"/>
      <c r="H21" s="63"/>
      <c r="N21" s="62" t="s">
        <v>31</v>
      </c>
      <c r="P21" s="69">
        <f>P20*1%</f>
        <v>16250.115</v>
      </c>
    </row>
    <row r="22" spans="1:16" ht="18" customHeight="1" thickBot="1" x14ac:dyDescent="0.25">
      <c r="A22" s="11"/>
      <c r="H22" s="63"/>
      <c r="N22" s="62" t="s">
        <v>54</v>
      </c>
      <c r="P22" s="71">
        <f>P20*2%</f>
        <v>32500.23</v>
      </c>
    </row>
    <row r="23" spans="1:16" ht="18" customHeight="1" x14ac:dyDescent="0.2">
      <c r="A23" s="11"/>
      <c r="H23" s="63"/>
      <c r="N23" s="66" t="s">
        <v>32</v>
      </c>
      <c r="O23" s="67"/>
      <c r="P23" s="70">
        <f>P20+P21-P22</f>
        <v>1608761.385</v>
      </c>
    </row>
    <row r="25" spans="1:16" x14ac:dyDescent="0.2">
      <c r="A25" s="11"/>
      <c r="H25" s="63"/>
      <c r="P25" s="71"/>
    </row>
    <row r="26" spans="1:16" x14ac:dyDescent="0.2">
      <c r="A26" s="11"/>
      <c r="H26" s="63"/>
      <c r="O26" s="58"/>
      <c r="P26" s="71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</sheetData>
  <mergeCells count="2">
    <mergeCell ref="A18:L18"/>
    <mergeCell ref="O18:P18"/>
  </mergeCells>
  <conditionalFormatting sqref="B3">
    <cfRule type="duplicateValues" dxfId="631" priority="2"/>
  </conditionalFormatting>
  <conditionalFormatting sqref="B4:B17">
    <cfRule type="duplicateValues" dxfId="630" priority="4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4"/>
  <sheetViews>
    <sheetView zoomScale="110" zoomScaleNormal="110" workbookViewId="0">
      <pane xSplit="3" ySplit="2" topLeftCell="D24" activePane="bottomRight" state="frozen"/>
      <selection pane="topRight" activeCell="B1" sqref="B1"/>
      <selection pane="bottomLeft" activeCell="A3" sqref="A3"/>
      <selection pane="bottomRight" activeCell="F34" sqref="F34"/>
    </sheetView>
  </sheetViews>
  <sheetFormatPr defaultRowHeight="15" x14ac:dyDescent="0.2"/>
  <cols>
    <col min="1" max="1" width="8" style="4" customWidth="1"/>
    <col min="2" max="2" width="20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.75" customHeight="1" x14ac:dyDescent="0.2">
      <c r="A3" s="104">
        <v>402155</v>
      </c>
      <c r="B3" s="73" t="s">
        <v>59</v>
      </c>
      <c r="C3" s="9" t="s">
        <v>60</v>
      </c>
      <c r="D3" s="75" t="s">
        <v>83</v>
      </c>
      <c r="E3" s="13">
        <v>44470</v>
      </c>
      <c r="F3" s="75" t="s">
        <v>84</v>
      </c>
      <c r="G3" s="13">
        <v>44472.375</v>
      </c>
      <c r="H3" s="10" t="s">
        <v>85</v>
      </c>
      <c r="I3" s="1">
        <v>106</v>
      </c>
      <c r="J3" s="1">
        <v>65</v>
      </c>
      <c r="K3" s="1">
        <v>37</v>
      </c>
      <c r="L3" s="1">
        <v>35</v>
      </c>
      <c r="M3" s="79">
        <v>63.732500000000002</v>
      </c>
      <c r="N3" s="103">
        <v>63.732500000000002</v>
      </c>
      <c r="O3" s="64">
        <v>7000</v>
      </c>
      <c r="P3" s="65">
        <f>Table224578910112[[#This Row],[PEMBULATAN]]*O3</f>
        <v>446127.5</v>
      </c>
    </row>
    <row r="4" spans="1:16" ht="24.75" customHeight="1" x14ac:dyDescent="0.2">
      <c r="A4" s="14"/>
      <c r="B4" s="74"/>
      <c r="C4" s="9" t="s">
        <v>61</v>
      </c>
      <c r="D4" s="75" t="s">
        <v>83</v>
      </c>
      <c r="E4" s="13">
        <v>44470</v>
      </c>
      <c r="F4" s="75" t="s">
        <v>84</v>
      </c>
      <c r="G4" s="13">
        <v>44472.375</v>
      </c>
      <c r="H4" s="10" t="s">
        <v>85</v>
      </c>
      <c r="I4" s="1">
        <v>50</v>
      </c>
      <c r="J4" s="1">
        <v>40</v>
      </c>
      <c r="K4" s="1">
        <v>37</v>
      </c>
      <c r="L4" s="1">
        <v>20</v>
      </c>
      <c r="M4" s="79">
        <v>18.5</v>
      </c>
      <c r="N4" s="103">
        <v>20</v>
      </c>
      <c r="O4" s="64">
        <v>7000</v>
      </c>
      <c r="P4" s="65">
        <f>Table224578910112[[#This Row],[PEMBULATAN]]*O4</f>
        <v>140000</v>
      </c>
    </row>
    <row r="5" spans="1:16" ht="24.75" customHeight="1" x14ac:dyDescent="0.2">
      <c r="A5" s="14"/>
      <c r="B5" s="14"/>
      <c r="C5" s="9" t="s">
        <v>62</v>
      </c>
      <c r="D5" s="75" t="s">
        <v>83</v>
      </c>
      <c r="E5" s="13">
        <v>44470</v>
      </c>
      <c r="F5" s="75" t="s">
        <v>84</v>
      </c>
      <c r="G5" s="13">
        <v>44472.375</v>
      </c>
      <c r="H5" s="10" t="s">
        <v>85</v>
      </c>
      <c r="I5" s="1">
        <v>41</v>
      </c>
      <c r="J5" s="1">
        <v>36</v>
      </c>
      <c r="K5" s="1">
        <v>26</v>
      </c>
      <c r="L5" s="1">
        <v>9</v>
      </c>
      <c r="M5" s="79">
        <v>9.5939999999999994</v>
      </c>
      <c r="N5" s="103">
        <v>9.5939999999999994</v>
      </c>
      <c r="O5" s="64">
        <v>7000</v>
      </c>
      <c r="P5" s="65">
        <f>Table224578910112[[#This Row],[PEMBULATAN]]*O5</f>
        <v>67158</v>
      </c>
    </row>
    <row r="6" spans="1:16" ht="24.75" customHeight="1" x14ac:dyDescent="0.2">
      <c r="A6" s="14"/>
      <c r="B6" s="14"/>
      <c r="C6" s="72" t="s">
        <v>63</v>
      </c>
      <c r="D6" s="77" t="s">
        <v>83</v>
      </c>
      <c r="E6" s="13">
        <v>44470</v>
      </c>
      <c r="F6" s="75" t="s">
        <v>84</v>
      </c>
      <c r="G6" s="13">
        <v>44472.375</v>
      </c>
      <c r="H6" s="76" t="s">
        <v>85</v>
      </c>
      <c r="I6" s="16">
        <v>48</v>
      </c>
      <c r="J6" s="16">
        <v>34</v>
      </c>
      <c r="K6" s="16">
        <v>37</v>
      </c>
      <c r="L6" s="16">
        <v>16</v>
      </c>
      <c r="M6" s="80">
        <v>15.096</v>
      </c>
      <c r="N6" s="103">
        <v>16</v>
      </c>
      <c r="O6" s="64">
        <v>7000</v>
      </c>
      <c r="P6" s="65">
        <f>Table224578910112[[#This Row],[PEMBULATAN]]*O6</f>
        <v>112000</v>
      </c>
    </row>
    <row r="7" spans="1:16" ht="24.75" customHeight="1" x14ac:dyDescent="0.2">
      <c r="A7" s="14"/>
      <c r="B7" s="14"/>
      <c r="C7" s="72" t="s">
        <v>64</v>
      </c>
      <c r="D7" s="77" t="s">
        <v>83</v>
      </c>
      <c r="E7" s="13">
        <v>44470</v>
      </c>
      <c r="F7" s="75" t="s">
        <v>84</v>
      </c>
      <c r="G7" s="13">
        <v>44472.375</v>
      </c>
      <c r="H7" s="76" t="s">
        <v>85</v>
      </c>
      <c r="I7" s="16">
        <v>36</v>
      </c>
      <c r="J7" s="16">
        <v>20</v>
      </c>
      <c r="K7" s="16">
        <v>20</v>
      </c>
      <c r="L7" s="16">
        <v>5</v>
      </c>
      <c r="M7" s="80">
        <v>3.6</v>
      </c>
      <c r="N7" s="103">
        <v>5</v>
      </c>
      <c r="O7" s="64">
        <v>7000</v>
      </c>
      <c r="P7" s="65">
        <f>Table224578910112[[#This Row],[PEMBULATAN]]*O7</f>
        <v>35000</v>
      </c>
    </row>
    <row r="8" spans="1:16" ht="24.75" customHeight="1" x14ac:dyDescent="0.2">
      <c r="A8" s="14"/>
      <c r="B8" s="14"/>
      <c r="C8" s="72" t="s">
        <v>65</v>
      </c>
      <c r="D8" s="77" t="s">
        <v>83</v>
      </c>
      <c r="E8" s="13">
        <v>44470</v>
      </c>
      <c r="F8" s="75" t="s">
        <v>84</v>
      </c>
      <c r="G8" s="13">
        <v>44472.375</v>
      </c>
      <c r="H8" s="76" t="s">
        <v>85</v>
      </c>
      <c r="I8" s="16">
        <v>95</v>
      </c>
      <c r="J8" s="16">
        <v>21</v>
      </c>
      <c r="K8" s="16">
        <v>10</v>
      </c>
      <c r="L8" s="16">
        <v>15</v>
      </c>
      <c r="M8" s="80">
        <v>4.9874999999999998</v>
      </c>
      <c r="N8" s="103">
        <v>15</v>
      </c>
      <c r="O8" s="64">
        <v>7000</v>
      </c>
      <c r="P8" s="65">
        <f>Table224578910112[[#This Row],[PEMBULATAN]]*O8</f>
        <v>105000</v>
      </c>
    </row>
    <row r="9" spans="1:16" ht="24.75" customHeight="1" x14ac:dyDescent="0.2">
      <c r="A9" s="14"/>
      <c r="B9" s="14"/>
      <c r="C9" s="72" t="s">
        <v>66</v>
      </c>
      <c r="D9" s="77" t="s">
        <v>83</v>
      </c>
      <c r="E9" s="13">
        <v>44470</v>
      </c>
      <c r="F9" s="75" t="s">
        <v>84</v>
      </c>
      <c r="G9" s="13">
        <v>44472.375</v>
      </c>
      <c r="H9" s="76" t="s">
        <v>85</v>
      </c>
      <c r="I9" s="16">
        <v>44</v>
      </c>
      <c r="J9" s="16">
        <v>45</v>
      </c>
      <c r="K9" s="16">
        <v>40</v>
      </c>
      <c r="L9" s="16">
        <v>17</v>
      </c>
      <c r="M9" s="80">
        <v>19.8</v>
      </c>
      <c r="N9" s="103">
        <v>19.8</v>
      </c>
      <c r="O9" s="64">
        <v>7000</v>
      </c>
      <c r="P9" s="65">
        <f>Table224578910112[[#This Row],[PEMBULATAN]]*O9</f>
        <v>138600</v>
      </c>
    </row>
    <row r="10" spans="1:16" ht="24.75" customHeight="1" x14ac:dyDescent="0.2">
      <c r="A10" s="14"/>
      <c r="B10" s="14"/>
      <c r="C10" s="72" t="s">
        <v>67</v>
      </c>
      <c r="D10" s="77" t="s">
        <v>83</v>
      </c>
      <c r="E10" s="13">
        <v>44470</v>
      </c>
      <c r="F10" s="75" t="s">
        <v>84</v>
      </c>
      <c r="G10" s="13">
        <v>44472.375</v>
      </c>
      <c r="H10" s="76" t="s">
        <v>85</v>
      </c>
      <c r="I10" s="16">
        <v>31</v>
      </c>
      <c r="J10" s="16">
        <v>27</v>
      </c>
      <c r="K10" s="16">
        <v>21</v>
      </c>
      <c r="L10" s="16">
        <v>7</v>
      </c>
      <c r="M10" s="80">
        <v>4.3942500000000004</v>
      </c>
      <c r="N10" s="103">
        <v>7</v>
      </c>
      <c r="O10" s="64">
        <v>7000</v>
      </c>
      <c r="P10" s="65">
        <f>Table224578910112[[#This Row],[PEMBULATAN]]*O10</f>
        <v>49000</v>
      </c>
    </row>
    <row r="11" spans="1:16" ht="24.75" customHeight="1" x14ac:dyDescent="0.2">
      <c r="A11" s="14"/>
      <c r="B11" s="14"/>
      <c r="C11" s="72" t="s">
        <v>68</v>
      </c>
      <c r="D11" s="77" t="s">
        <v>83</v>
      </c>
      <c r="E11" s="13">
        <v>44470</v>
      </c>
      <c r="F11" s="75" t="s">
        <v>84</v>
      </c>
      <c r="G11" s="13">
        <v>44472.375</v>
      </c>
      <c r="H11" s="76" t="s">
        <v>85</v>
      </c>
      <c r="I11" s="16">
        <v>55</v>
      </c>
      <c r="J11" s="16">
        <v>39</v>
      </c>
      <c r="K11" s="16">
        <v>40</v>
      </c>
      <c r="L11" s="16">
        <v>15</v>
      </c>
      <c r="M11" s="80">
        <v>21.45</v>
      </c>
      <c r="N11" s="103">
        <v>22</v>
      </c>
      <c r="O11" s="64">
        <v>7000</v>
      </c>
      <c r="P11" s="65">
        <f>Table224578910112[[#This Row],[PEMBULATAN]]*O11</f>
        <v>154000</v>
      </c>
    </row>
    <row r="12" spans="1:16" ht="24.75" customHeight="1" x14ac:dyDescent="0.2">
      <c r="A12" s="14"/>
      <c r="B12" s="14"/>
      <c r="C12" s="72" t="s">
        <v>69</v>
      </c>
      <c r="D12" s="77" t="s">
        <v>83</v>
      </c>
      <c r="E12" s="13">
        <v>44470</v>
      </c>
      <c r="F12" s="75" t="s">
        <v>84</v>
      </c>
      <c r="G12" s="13">
        <v>44472.375</v>
      </c>
      <c r="H12" s="76" t="s">
        <v>85</v>
      </c>
      <c r="I12" s="16">
        <v>106</v>
      </c>
      <c r="J12" s="16">
        <v>65</v>
      </c>
      <c r="K12" s="16">
        <v>37</v>
      </c>
      <c r="L12" s="16">
        <v>35</v>
      </c>
      <c r="M12" s="80">
        <v>63.732500000000002</v>
      </c>
      <c r="N12" s="103">
        <v>63.732500000000002</v>
      </c>
      <c r="O12" s="64">
        <v>7000</v>
      </c>
      <c r="P12" s="65">
        <f>Table224578910112[[#This Row],[PEMBULATAN]]*O12</f>
        <v>446127.5</v>
      </c>
    </row>
    <row r="13" spans="1:16" ht="24.75" customHeight="1" x14ac:dyDescent="0.2">
      <c r="A13" s="14"/>
      <c r="B13" s="14"/>
      <c r="C13" s="72" t="s">
        <v>70</v>
      </c>
      <c r="D13" s="77" t="s">
        <v>83</v>
      </c>
      <c r="E13" s="13">
        <v>44470</v>
      </c>
      <c r="F13" s="75" t="s">
        <v>84</v>
      </c>
      <c r="G13" s="13">
        <v>44472.375</v>
      </c>
      <c r="H13" s="76" t="s">
        <v>85</v>
      </c>
      <c r="I13" s="16">
        <v>92</v>
      </c>
      <c r="J13" s="16">
        <v>52</v>
      </c>
      <c r="K13" s="16">
        <v>28</v>
      </c>
      <c r="L13" s="16">
        <v>29</v>
      </c>
      <c r="M13" s="80">
        <v>33.488</v>
      </c>
      <c r="N13" s="103">
        <v>34</v>
      </c>
      <c r="O13" s="64">
        <v>7000</v>
      </c>
      <c r="P13" s="65">
        <f>Table224578910112[[#This Row],[PEMBULATAN]]*O13</f>
        <v>238000</v>
      </c>
    </row>
    <row r="14" spans="1:16" ht="24.75" customHeight="1" x14ac:dyDescent="0.2">
      <c r="A14" s="14"/>
      <c r="B14" s="14"/>
      <c r="C14" s="72" t="s">
        <v>71</v>
      </c>
      <c r="D14" s="77" t="s">
        <v>83</v>
      </c>
      <c r="E14" s="13">
        <v>44470</v>
      </c>
      <c r="F14" s="75" t="s">
        <v>84</v>
      </c>
      <c r="G14" s="13">
        <v>44472.375</v>
      </c>
      <c r="H14" s="76" t="s">
        <v>85</v>
      </c>
      <c r="I14" s="16">
        <v>81</v>
      </c>
      <c r="J14" s="16">
        <v>47</v>
      </c>
      <c r="K14" s="16">
        <v>21</v>
      </c>
      <c r="L14" s="16">
        <v>18</v>
      </c>
      <c r="M14" s="80">
        <v>19.986750000000001</v>
      </c>
      <c r="N14" s="103">
        <v>19.986750000000001</v>
      </c>
      <c r="O14" s="64">
        <v>7000</v>
      </c>
      <c r="P14" s="65">
        <f>Table224578910112[[#This Row],[PEMBULATAN]]*O14</f>
        <v>139907.25</v>
      </c>
    </row>
    <row r="15" spans="1:16" ht="24.75" customHeight="1" x14ac:dyDescent="0.2">
      <c r="A15" s="14"/>
      <c r="B15" s="14"/>
      <c r="C15" s="72" t="s">
        <v>72</v>
      </c>
      <c r="D15" s="77" t="s">
        <v>83</v>
      </c>
      <c r="E15" s="13">
        <v>44470</v>
      </c>
      <c r="F15" s="75" t="s">
        <v>84</v>
      </c>
      <c r="G15" s="13">
        <v>44472.375</v>
      </c>
      <c r="H15" s="76" t="s">
        <v>85</v>
      </c>
      <c r="I15" s="16">
        <v>31</v>
      </c>
      <c r="J15" s="16">
        <v>26</v>
      </c>
      <c r="K15" s="16">
        <v>20</v>
      </c>
      <c r="L15" s="16">
        <v>7</v>
      </c>
      <c r="M15" s="80">
        <v>4.03</v>
      </c>
      <c r="N15" s="103">
        <v>7</v>
      </c>
      <c r="O15" s="64">
        <v>7000</v>
      </c>
      <c r="P15" s="65">
        <f>Table224578910112[[#This Row],[PEMBULATAN]]*O15</f>
        <v>49000</v>
      </c>
    </row>
    <row r="16" spans="1:16" ht="24.75" customHeight="1" x14ac:dyDescent="0.2">
      <c r="A16" s="14"/>
      <c r="B16" s="14"/>
      <c r="C16" s="72" t="s">
        <v>73</v>
      </c>
      <c r="D16" s="77" t="s">
        <v>83</v>
      </c>
      <c r="E16" s="13">
        <v>44470</v>
      </c>
      <c r="F16" s="75" t="s">
        <v>84</v>
      </c>
      <c r="G16" s="13">
        <v>44472.375</v>
      </c>
      <c r="H16" s="76" t="s">
        <v>85</v>
      </c>
      <c r="I16" s="16">
        <v>122</v>
      </c>
      <c r="J16" s="16">
        <v>26</v>
      </c>
      <c r="K16" s="16">
        <v>15</v>
      </c>
      <c r="L16" s="16">
        <v>9</v>
      </c>
      <c r="M16" s="80">
        <v>11.895</v>
      </c>
      <c r="N16" s="103">
        <v>11.895</v>
      </c>
      <c r="O16" s="64">
        <v>7000</v>
      </c>
      <c r="P16" s="65">
        <f>Table224578910112[[#This Row],[PEMBULATAN]]*O16</f>
        <v>83265</v>
      </c>
    </row>
    <row r="17" spans="1:16" ht="24.75" customHeight="1" x14ac:dyDescent="0.2">
      <c r="A17" s="14"/>
      <c r="B17" s="14"/>
      <c r="C17" s="72" t="s">
        <v>74</v>
      </c>
      <c r="D17" s="77" t="s">
        <v>83</v>
      </c>
      <c r="E17" s="13">
        <v>44470</v>
      </c>
      <c r="F17" s="75" t="s">
        <v>84</v>
      </c>
      <c r="G17" s="13">
        <v>44472.375</v>
      </c>
      <c r="H17" s="76" t="s">
        <v>85</v>
      </c>
      <c r="I17" s="16">
        <v>103</v>
      </c>
      <c r="J17" s="16">
        <v>27</v>
      </c>
      <c r="K17" s="16">
        <v>24</v>
      </c>
      <c r="L17" s="16">
        <v>9</v>
      </c>
      <c r="M17" s="80">
        <v>16.686</v>
      </c>
      <c r="N17" s="103">
        <v>16.686</v>
      </c>
      <c r="O17" s="64">
        <v>7000</v>
      </c>
      <c r="P17" s="65">
        <f>Table224578910112[[#This Row],[PEMBULATAN]]*O17</f>
        <v>116802</v>
      </c>
    </row>
    <row r="18" spans="1:16" ht="24.75" customHeight="1" x14ac:dyDescent="0.2">
      <c r="A18" s="14"/>
      <c r="B18" s="14"/>
      <c r="C18" s="72" t="s">
        <v>75</v>
      </c>
      <c r="D18" s="77" t="s">
        <v>83</v>
      </c>
      <c r="E18" s="13">
        <v>44470</v>
      </c>
      <c r="F18" s="75" t="s">
        <v>84</v>
      </c>
      <c r="G18" s="13">
        <v>44472.375</v>
      </c>
      <c r="H18" s="76" t="s">
        <v>85</v>
      </c>
      <c r="I18" s="16">
        <v>36</v>
      </c>
      <c r="J18" s="16">
        <v>32</v>
      </c>
      <c r="K18" s="16">
        <v>30</v>
      </c>
      <c r="L18" s="16">
        <v>6</v>
      </c>
      <c r="M18" s="80">
        <v>8.64</v>
      </c>
      <c r="N18" s="103">
        <v>8.64</v>
      </c>
      <c r="O18" s="64">
        <v>7000</v>
      </c>
      <c r="P18" s="65">
        <f>Table224578910112[[#This Row],[PEMBULATAN]]*O18</f>
        <v>60480.000000000007</v>
      </c>
    </row>
    <row r="19" spans="1:16" ht="24.75" customHeight="1" x14ac:dyDescent="0.2">
      <c r="A19" s="14"/>
      <c r="B19" s="110"/>
      <c r="C19" s="72" t="s">
        <v>76</v>
      </c>
      <c r="D19" s="77" t="s">
        <v>83</v>
      </c>
      <c r="E19" s="13">
        <v>44470</v>
      </c>
      <c r="F19" s="75" t="s">
        <v>84</v>
      </c>
      <c r="G19" s="13">
        <v>44472.375</v>
      </c>
      <c r="H19" s="76" t="s">
        <v>85</v>
      </c>
      <c r="I19" s="16">
        <v>68</v>
      </c>
      <c r="J19" s="16">
        <v>38</v>
      </c>
      <c r="K19" s="16">
        <v>17</v>
      </c>
      <c r="L19" s="16">
        <v>10</v>
      </c>
      <c r="M19" s="80">
        <v>10.981999999999999</v>
      </c>
      <c r="N19" s="103">
        <v>10.981999999999999</v>
      </c>
      <c r="O19" s="64">
        <v>7000</v>
      </c>
      <c r="P19" s="65">
        <f>Table224578910112[[#This Row],[PEMBULATAN]]*O19</f>
        <v>76874</v>
      </c>
    </row>
    <row r="20" spans="1:16" ht="24.75" customHeight="1" x14ac:dyDescent="0.2">
      <c r="A20" s="14"/>
      <c r="B20" s="14" t="s">
        <v>77</v>
      </c>
      <c r="C20" s="72" t="s">
        <v>78</v>
      </c>
      <c r="D20" s="77" t="s">
        <v>83</v>
      </c>
      <c r="E20" s="13">
        <v>44470</v>
      </c>
      <c r="F20" s="75" t="s">
        <v>84</v>
      </c>
      <c r="G20" s="13">
        <v>44472.375</v>
      </c>
      <c r="H20" s="76" t="s">
        <v>85</v>
      </c>
      <c r="I20" s="16">
        <v>76</v>
      </c>
      <c r="J20" s="16">
        <v>47</v>
      </c>
      <c r="K20" s="16">
        <v>32</v>
      </c>
      <c r="L20" s="16">
        <v>8</v>
      </c>
      <c r="M20" s="80">
        <v>28.576000000000001</v>
      </c>
      <c r="N20" s="103">
        <v>28.576000000000001</v>
      </c>
      <c r="O20" s="64">
        <v>7000</v>
      </c>
      <c r="P20" s="65">
        <f>Table224578910112[[#This Row],[PEMBULATAN]]*O20</f>
        <v>200032</v>
      </c>
    </row>
    <row r="21" spans="1:16" ht="24.75" customHeight="1" x14ac:dyDescent="0.2">
      <c r="A21" s="14"/>
      <c r="B21" s="14"/>
      <c r="C21" s="72" t="s">
        <v>79</v>
      </c>
      <c r="D21" s="77" t="s">
        <v>83</v>
      </c>
      <c r="E21" s="13">
        <v>44470</v>
      </c>
      <c r="F21" s="75" t="s">
        <v>84</v>
      </c>
      <c r="G21" s="13">
        <v>44472.375</v>
      </c>
      <c r="H21" s="76" t="s">
        <v>85</v>
      </c>
      <c r="I21" s="16">
        <v>76</v>
      </c>
      <c r="J21" s="16">
        <v>47</v>
      </c>
      <c r="K21" s="16">
        <v>32</v>
      </c>
      <c r="L21" s="16">
        <v>8</v>
      </c>
      <c r="M21" s="80">
        <v>28.576000000000001</v>
      </c>
      <c r="N21" s="103">
        <v>28.576000000000001</v>
      </c>
      <c r="O21" s="64">
        <v>7000</v>
      </c>
      <c r="P21" s="65">
        <f>Table224578910112[[#This Row],[PEMBULATAN]]*O21</f>
        <v>200032</v>
      </c>
    </row>
    <row r="22" spans="1:16" ht="24.75" customHeight="1" x14ac:dyDescent="0.2">
      <c r="A22" s="14"/>
      <c r="B22" s="110"/>
      <c r="C22" s="72" t="s">
        <v>80</v>
      </c>
      <c r="D22" s="77" t="s">
        <v>83</v>
      </c>
      <c r="E22" s="13">
        <v>44470</v>
      </c>
      <c r="F22" s="75" t="s">
        <v>84</v>
      </c>
      <c r="G22" s="13">
        <v>44472.375</v>
      </c>
      <c r="H22" s="76" t="s">
        <v>85</v>
      </c>
      <c r="I22" s="16">
        <v>31</v>
      </c>
      <c r="J22" s="16">
        <v>29</v>
      </c>
      <c r="K22" s="16">
        <v>95</v>
      </c>
      <c r="L22" s="16">
        <v>20</v>
      </c>
      <c r="M22" s="80">
        <v>21.35125</v>
      </c>
      <c r="N22" s="103">
        <v>22</v>
      </c>
      <c r="O22" s="64">
        <v>7000</v>
      </c>
      <c r="P22" s="65">
        <f>Table224578910112[[#This Row],[PEMBULATAN]]*O22</f>
        <v>154000</v>
      </c>
    </row>
    <row r="23" spans="1:16" ht="24.75" customHeight="1" x14ac:dyDescent="0.2">
      <c r="A23" s="14"/>
      <c r="B23" s="14" t="s">
        <v>81</v>
      </c>
      <c r="C23" s="72" t="s">
        <v>82</v>
      </c>
      <c r="D23" s="77" t="s">
        <v>83</v>
      </c>
      <c r="E23" s="13">
        <v>44470</v>
      </c>
      <c r="F23" s="75" t="s">
        <v>84</v>
      </c>
      <c r="G23" s="13">
        <v>44472.375</v>
      </c>
      <c r="H23" s="76" t="s">
        <v>85</v>
      </c>
      <c r="I23" s="16">
        <v>104</v>
      </c>
      <c r="J23" s="16">
        <v>45</v>
      </c>
      <c r="K23" s="16">
        <v>18</v>
      </c>
      <c r="L23" s="16">
        <v>12</v>
      </c>
      <c r="M23" s="3">
        <f>Table224578910112[[#This Row],[P]]*Table224578910112[[#This Row],[L]]*Table224578910112[[#This Row],[T]]/4000</f>
        <v>21.06</v>
      </c>
      <c r="N23" s="103">
        <v>21</v>
      </c>
      <c r="O23" s="64">
        <v>7000</v>
      </c>
      <c r="P23" s="65">
        <f>Table224578910112[[#This Row],[PEMBULATAN]]*O23</f>
        <v>147000</v>
      </c>
    </row>
    <row r="24" spans="1:16" ht="22.5" customHeight="1" x14ac:dyDescent="0.2">
      <c r="A24" s="143" t="s">
        <v>30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5"/>
      <c r="M24" s="78">
        <f>SUBTOTAL(109,Table224578910112[KG VOLUME])</f>
        <v>430.15774999999996</v>
      </c>
      <c r="N24" s="68">
        <f>SUM(N3:N23)</f>
        <v>451.20075000000008</v>
      </c>
      <c r="O24" s="146">
        <f>SUM(P3:P23)</f>
        <v>3158405.25</v>
      </c>
      <c r="P24" s="147"/>
    </row>
    <row r="25" spans="1:16" ht="18" customHeight="1" x14ac:dyDescent="0.2">
      <c r="A25" s="85"/>
      <c r="B25" s="56" t="s">
        <v>42</v>
      </c>
      <c r="C25" s="55"/>
      <c r="D25" s="57" t="s">
        <v>43</v>
      </c>
      <c r="E25" s="85"/>
      <c r="F25" s="85"/>
      <c r="G25" s="85"/>
      <c r="H25" s="85"/>
      <c r="I25" s="85"/>
      <c r="J25" s="85"/>
      <c r="K25" s="85"/>
      <c r="L25" s="85"/>
      <c r="M25" s="86"/>
      <c r="N25" s="87" t="s">
        <v>52</v>
      </c>
      <c r="O25" s="88"/>
      <c r="P25" s="88">
        <v>0</v>
      </c>
    </row>
    <row r="26" spans="1:16" ht="18" customHeight="1" thickBot="1" x14ac:dyDescent="0.25">
      <c r="A26" s="85"/>
      <c r="B26" s="56"/>
      <c r="C26" s="55"/>
      <c r="D26" s="57"/>
      <c r="E26" s="85"/>
      <c r="F26" s="85"/>
      <c r="G26" s="85"/>
      <c r="H26" s="85"/>
      <c r="I26" s="85"/>
      <c r="J26" s="85"/>
      <c r="K26" s="85"/>
      <c r="L26" s="85"/>
      <c r="M26" s="86"/>
      <c r="N26" s="89" t="s">
        <v>53</v>
      </c>
      <c r="O26" s="90"/>
      <c r="P26" s="90">
        <f>O24-P25</f>
        <v>3158405.25</v>
      </c>
    </row>
    <row r="27" spans="1:16" ht="18" customHeight="1" x14ac:dyDescent="0.2">
      <c r="A27" s="11"/>
      <c r="H27" s="63"/>
      <c r="N27" s="62" t="s">
        <v>31</v>
      </c>
      <c r="P27" s="69">
        <f>P26*1%</f>
        <v>31584.052500000002</v>
      </c>
    </row>
    <row r="28" spans="1:16" ht="18" customHeight="1" thickBot="1" x14ac:dyDescent="0.25">
      <c r="A28" s="11"/>
      <c r="H28" s="63"/>
      <c r="N28" s="62" t="s">
        <v>54</v>
      </c>
      <c r="P28" s="71">
        <f>P26*2%</f>
        <v>63168.105000000003</v>
      </c>
    </row>
    <row r="29" spans="1:16" ht="18" customHeight="1" x14ac:dyDescent="0.2">
      <c r="A29" s="11"/>
      <c r="H29" s="63"/>
      <c r="N29" s="66" t="s">
        <v>32</v>
      </c>
      <c r="O29" s="67"/>
      <c r="P29" s="70">
        <f>P26+P27-P28</f>
        <v>3126821.1975000002</v>
      </c>
    </row>
    <row r="31" spans="1:16" x14ac:dyDescent="0.2">
      <c r="A31" s="11"/>
      <c r="H31" s="63"/>
      <c r="P31" s="71"/>
    </row>
    <row r="32" spans="1:16" x14ac:dyDescent="0.2">
      <c r="A32" s="11"/>
      <c r="H32" s="63"/>
      <c r="O32" s="58"/>
      <c r="P32" s="71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</sheetData>
  <mergeCells count="2">
    <mergeCell ref="A24:L24"/>
    <mergeCell ref="O24:P24"/>
  </mergeCells>
  <conditionalFormatting sqref="B3">
    <cfRule type="duplicateValues" dxfId="928" priority="2"/>
  </conditionalFormatting>
  <conditionalFormatting sqref="B4">
    <cfRule type="duplicateValues" dxfId="927" priority="1"/>
  </conditionalFormatting>
  <conditionalFormatting sqref="B5:B23">
    <cfRule type="duplicateValues" dxfId="926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402198</v>
      </c>
      <c r="B3" s="73" t="s">
        <v>409</v>
      </c>
      <c r="C3" s="9" t="s">
        <v>410</v>
      </c>
      <c r="D3" s="75" t="s">
        <v>83</v>
      </c>
      <c r="E3" s="13" t="s">
        <v>392</v>
      </c>
      <c r="F3" s="75" t="s">
        <v>84</v>
      </c>
      <c r="G3" s="13" t="s">
        <v>363</v>
      </c>
      <c r="H3" s="10" t="s">
        <v>364</v>
      </c>
      <c r="I3" s="1">
        <v>46</v>
      </c>
      <c r="J3" s="1">
        <v>46</v>
      </c>
      <c r="K3" s="1">
        <v>32</v>
      </c>
      <c r="L3" s="1">
        <v>18</v>
      </c>
      <c r="M3" s="79">
        <v>16.928000000000001</v>
      </c>
      <c r="N3" s="103">
        <v>18</v>
      </c>
      <c r="O3" s="64">
        <v>7000</v>
      </c>
      <c r="P3" s="65">
        <f>Table22457891011234567891011121314151617181920[[#This Row],[PEMBULATAN]]*O3</f>
        <v>126000</v>
      </c>
    </row>
    <row r="4" spans="1:16" ht="26.25" customHeight="1" x14ac:dyDescent="0.2">
      <c r="A4" s="14"/>
      <c r="B4" s="74"/>
      <c r="C4" s="9" t="s">
        <v>411</v>
      </c>
      <c r="D4" s="75" t="s">
        <v>83</v>
      </c>
      <c r="E4" s="13" t="s">
        <v>392</v>
      </c>
      <c r="F4" s="75" t="s">
        <v>84</v>
      </c>
      <c r="G4" s="13" t="s">
        <v>363</v>
      </c>
      <c r="H4" s="10" t="s">
        <v>364</v>
      </c>
      <c r="I4" s="1">
        <v>86</v>
      </c>
      <c r="J4" s="1">
        <v>39</v>
      </c>
      <c r="K4" s="1">
        <v>45</v>
      </c>
      <c r="L4" s="1">
        <v>11</v>
      </c>
      <c r="M4" s="79">
        <v>37.732500000000002</v>
      </c>
      <c r="N4" s="103">
        <v>37.732500000000002</v>
      </c>
      <c r="O4" s="64">
        <v>7000</v>
      </c>
      <c r="P4" s="65">
        <f>Table22457891011234567891011121314151617181920[[#This Row],[PEMBULATAN]]*O4</f>
        <v>264127.5</v>
      </c>
    </row>
    <row r="5" spans="1:16" ht="26.25" customHeight="1" x14ac:dyDescent="0.2">
      <c r="A5" s="14"/>
      <c r="B5" s="14"/>
      <c r="C5" s="9" t="s">
        <v>412</v>
      </c>
      <c r="D5" s="75" t="s">
        <v>83</v>
      </c>
      <c r="E5" s="13" t="s">
        <v>392</v>
      </c>
      <c r="F5" s="75" t="s">
        <v>84</v>
      </c>
      <c r="G5" s="13" t="s">
        <v>363</v>
      </c>
      <c r="H5" s="10" t="s">
        <v>364</v>
      </c>
      <c r="I5" s="1">
        <v>38</v>
      </c>
      <c r="J5" s="1">
        <v>32</v>
      </c>
      <c r="K5" s="1">
        <v>29</v>
      </c>
      <c r="L5" s="1">
        <v>6</v>
      </c>
      <c r="M5" s="79">
        <v>8.8160000000000007</v>
      </c>
      <c r="N5" s="103">
        <v>8.8160000000000007</v>
      </c>
      <c r="O5" s="64">
        <v>7000</v>
      </c>
      <c r="P5" s="65">
        <f>Table22457891011234567891011121314151617181920[[#This Row],[PEMBULATAN]]*O5</f>
        <v>61712.000000000007</v>
      </c>
    </row>
    <row r="6" spans="1:16" ht="26.25" customHeight="1" x14ac:dyDescent="0.2">
      <c r="A6" s="14"/>
      <c r="B6" s="14"/>
      <c r="C6" s="95" t="s">
        <v>413</v>
      </c>
      <c r="D6" s="96" t="s">
        <v>83</v>
      </c>
      <c r="E6" s="97" t="s">
        <v>392</v>
      </c>
      <c r="F6" s="98" t="s">
        <v>84</v>
      </c>
      <c r="G6" s="97" t="s">
        <v>363</v>
      </c>
      <c r="H6" s="99" t="s">
        <v>364</v>
      </c>
      <c r="I6" s="100">
        <v>58</v>
      </c>
      <c r="J6" s="100">
        <v>60</v>
      </c>
      <c r="K6" s="100">
        <v>33</v>
      </c>
      <c r="L6" s="100">
        <v>45</v>
      </c>
      <c r="M6" s="101">
        <v>28.71</v>
      </c>
      <c r="N6" s="107">
        <v>45</v>
      </c>
      <c r="O6" s="64">
        <v>7000</v>
      </c>
      <c r="P6" s="65">
        <f>Table22457891011234567891011121314151617181920[[#This Row],[PEMBULATAN]]*O6</f>
        <v>315000</v>
      </c>
    </row>
    <row r="7" spans="1:16" ht="22.5" customHeight="1" x14ac:dyDescent="0.2">
      <c r="A7" s="143" t="s">
        <v>30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5"/>
      <c r="M7" s="78">
        <f>SUBTOTAL(109,Table22457891011234567891011121314151617181920[KG VOLUME])</f>
        <v>92.186499999999995</v>
      </c>
      <c r="N7" s="68">
        <f>SUM(N3:N6)</f>
        <v>109.5485</v>
      </c>
      <c r="O7" s="146">
        <f>SUM(P3:P6)</f>
        <v>766839.5</v>
      </c>
      <c r="P7" s="147"/>
    </row>
    <row r="8" spans="1:16" ht="18" customHeight="1" x14ac:dyDescent="0.2">
      <c r="A8" s="85"/>
      <c r="B8" s="56" t="s">
        <v>42</v>
      </c>
      <c r="C8" s="55"/>
      <c r="D8" s="57" t="s">
        <v>43</v>
      </c>
      <c r="E8" s="85"/>
      <c r="F8" s="85"/>
      <c r="G8" s="85"/>
      <c r="H8" s="85"/>
      <c r="I8" s="85"/>
      <c r="J8" s="85"/>
      <c r="K8" s="85"/>
      <c r="L8" s="85"/>
      <c r="M8" s="86"/>
      <c r="N8" s="87" t="s">
        <v>52</v>
      </c>
      <c r="O8" s="88"/>
      <c r="P8" s="88">
        <v>0</v>
      </c>
    </row>
    <row r="9" spans="1:16" ht="18" customHeight="1" thickBot="1" x14ac:dyDescent="0.25">
      <c r="A9" s="85"/>
      <c r="B9" s="56"/>
      <c r="C9" s="55"/>
      <c r="D9" s="57"/>
      <c r="E9" s="85"/>
      <c r="F9" s="85"/>
      <c r="G9" s="85"/>
      <c r="H9" s="85"/>
      <c r="I9" s="85"/>
      <c r="J9" s="85"/>
      <c r="K9" s="85"/>
      <c r="L9" s="85"/>
      <c r="M9" s="86"/>
      <c r="N9" s="89" t="s">
        <v>53</v>
      </c>
      <c r="O9" s="90"/>
      <c r="P9" s="90">
        <f>O7-P8</f>
        <v>766839.5</v>
      </c>
    </row>
    <row r="10" spans="1:16" ht="18" customHeight="1" x14ac:dyDescent="0.2">
      <c r="A10" s="11"/>
      <c r="H10" s="63"/>
      <c r="N10" s="62" t="s">
        <v>31</v>
      </c>
      <c r="P10" s="69">
        <f>P9*1%</f>
        <v>7668.3950000000004</v>
      </c>
    </row>
    <row r="11" spans="1:16" ht="18" customHeight="1" thickBot="1" x14ac:dyDescent="0.25">
      <c r="A11" s="11"/>
      <c r="H11" s="63"/>
      <c r="N11" s="62" t="s">
        <v>54</v>
      </c>
      <c r="P11" s="71">
        <f>P9*2%</f>
        <v>15336.79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759171.10499999998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614" priority="2"/>
  </conditionalFormatting>
  <conditionalFormatting sqref="B4">
    <cfRule type="duplicateValues" dxfId="613" priority="1"/>
  </conditionalFormatting>
  <conditionalFormatting sqref="B5:B6">
    <cfRule type="duplicateValues" dxfId="612" priority="4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8"/>
  <sheetViews>
    <sheetView zoomScale="110" zoomScaleNormal="110" workbookViewId="0">
      <pane xSplit="3" ySplit="2" topLeftCell="D22" activePane="bottomRight" state="frozen"/>
      <selection pane="topRight" activeCell="B1" sqref="B1"/>
      <selection pane="bottomLeft" activeCell="A3" sqref="A3"/>
      <selection pane="bottomRight" activeCell="O29" sqref="O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8.5" customHeight="1" x14ac:dyDescent="0.2">
      <c r="A3" s="82">
        <v>402199</v>
      </c>
      <c r="B3" s="73" t="s">
        <v>414</v>
      </c>
      <c r="C3" s="9" t="s">
        <v>415</v>
      </c>
      <c r="D3" s="75" t="s">
        <v>83</v>
      </c>
      <c r="E3" s="13">
        <v>44483</v>
      </c>
      <c r="F3" s="75" t="s">
        <v>84</v>
      </c>
      <c r="G3" s="13" t="s">
        <v>363</v>
      </c>
      <c r="H3" s="10" t="s">
        <v>364</v>
      </c>
      <c r="I3" s="1">
        <v>75</v>
      </c>
      <c r="J3" s="1">
        <v>40</v>
      </c>
      <c r="K3" s="1">
        <v>13</v>
      </c>
      <c r="L3" s="1">
        <v>5</v>
      </c>
      <c r="M3" s="79">
        <v>9.75</v>
      </c>
      <c r="N3" s="103">
        <v>9.75</v>
      </c>
      <c r="O3" s="64">
        <v>7000</v>
      </c>
      <c r="P3" s="65">
        <f>Table2245789101123456789101112131415161718192021[[#This Row],[PEMBULATAN]]*O3</f>
        <v>68250</v>
      </c>
    </row>
    <row r="4" spans="1:16" ht="28.5" customHeight="1" x14ac:dyDescent="0.2">
      <c r="A4" s="14"/>
      <c r="B4" s="74"/>
      <c r="C4" s="9" t="s">
        <v>416</v>
      </c>
      <c r="D4" s="75" t="s">
        <v>83</v>
      </c>
      <c r="E4" s="13">
        <v>44483</v>
      </c>
      <c r="F4" s="75" t="s">
        <v>84</v>
      </c>
      <c r="G4" s="13" t="s">
        <v>363</v>
      </c>
      <c r="H4" s="10" t="s">
        <v>364</v>
      </c>
      <c r="I4" s="1">
        <v>51</v>
      </c>
      <c r="J4" s="1">
        <v>44</v>
      </c>
      <c r="K4" s="1">
        <v>17</v>
      </c>
      <c r="L4" s="1">
        <v>7</v>
      </c>
      <c r="M4" s="79">
        <v>9.5370000000000008</v>
      </c>
      <c r="N4" s="103">
        <v>9.5370000000000008</v>
      </c>
      <c r="O4" s="64">
        <v>7000</v>
      </c>
      <c r="P4" s="65">
        <f>Table2245789101123456789101112131415161718192021[[#This Row],[PEMBULATAN]]*O4</f>
        <v>66759</v>
      </c>
    </row>
    <row r="5" spans="1:16" ht="28.5" customHeight="1" x14ac:dyDescent="0.2">
      <c r="A5" s="14"/>
      <c r="B5" s="14"/>
      <c r="C5" s="9" t="s">
        <v>417</v>
      </c>
      <c r="D5" s="75" t="s">
        <v>83</v>
      </c>
      <c r="E5" s="13">
        <v>44483</v>
      </c>
      <c r="F5" s="75" t="s">
        <v>84</v>
      </c>
      <c r="G5" s="13" t="s">
        <v>363</v>
      </c>
      <c r="H5" s="10" t="s">
        <v>364</v>
      </c>
      <c r="I5" s="1">
        <v>64</v>
      </c>
      <c r="J5" s="1">
        <v>34</v>
      </c>
      <c r="K5" s="1">
        <v>16</v>
      </c>
      <c r="L5" s="1">
        <v>14</v>
      </c>
      <c r="M5" s="79">
        <v>8.7040000000000006</v>
      </c>
      <c r="N5" s="103">
        <v>14</v>
      </c>
      <c r="O5" s="64">
        <v>7000</v>
      </c>
      <c r="P5" s="65">
        <f>Table2245789101123456789101112131415161718192021[[#This Row],[PEMBULATAN]]*O5</f>
        <v>98000</v>
      </c>
    </row>
    <row r="6" spans="1:16" ht="28.5" customHeight="1" x14ac:dyDescent="0.2">
      <c r="A6" s="14"/>
      <c r="B6" s="14"/>
      <c r="C6" s="95" t="s">
        <v>418</v>
      </c>
      <c r="D6" s="96" t="s">
        <v>83</v>
      </c>
      <c r="E6" s="97">
        <v>44483</v>
      </c>
      <c r="F6" s="98" t="s">
        <v>84</v>
      </c>
      <c r="G6" s="97" t="s">
        <v>363</v>
      </c>
      <c r="H6" s="99" t="s">
        <v>364</v>
      </c>
      <c r="I6" s="100">
        <v>37</v>
      </c>
      <c r="J6" s="100">
        <v>54</v>
      </c>
      <c r="K6" s="100">
        <v>21</v>
      </c>
      <c r="L6" s="100">
        <v>8</v>
      </c>
      <c r="M6" s="101">
        <v>10.4895</v>
      </c>
      <c r="N6" s="107">
        <v>11</v>
      </c>
      <c r="O6" s="64">
        <v>7000</v>
      </c>
      <c r="P6" s="65">
        <f>Table2245789101123456789101112131415161718192021[[#This Row],[PEMBULATAN]]*O6</f>
        <v>77000</v>
      </c>
    </row>
    <row r="7" spans="1:16" ht="28.5" customHeight="1" x14ac:dyDescent="0.2">
      <c r="A7" s="14"/>
      <c r="B7" s="14"/>
      <c r="C7" s="95" t="s">
        <v>419</v>
      </c>
      <c r="D7" s="96" t="s">
        <v>83</v>
      </c>
      <c r="E7" s="97">
        <v>44483</v>
      </c>
      <c r="F7" s="98" t="s">
        <v>84</v>
      </c>
      <c r="G7" s="97" t="s">
        <v>363</v>
      </c>
      <c r="H7" s="99" t="s">
        <v>364</v>
      </c>
      <c r="I7" s="100">
        <v>78</v>
      </c>
      <c r="J7" s="100">
        <v>45</v>
      </c>
      <c r="K7" s="100">
        <v>36</v>
      </c>
      <c r="L7" s="100">
        <v>14</v>
      </c>
      <c r="M7" s="101">
        <v>31.59</v>
      </c>
      <c r="N7" s="107">
        <v>31.59</v>
      </c>
      <c r="O7" s="64">
        <v>7000</v>
      </c>
      <c r="P7" s="65">
        <f>Table2245789101123456789101112131415161718192021[[#This Row],[PEMBULATAN]]*O7</f>
        <v>221130</v>
      </c>
    </row>
    <row r="8" spans="1:16" ht="28.5" customHeight="1" x14ac:dyDescent="0.2">
      <c r="A8" s="14"/>
      <c r="B8" s="14"/>
      <c r="C8" s="95" t="s">
        <v>420</v>
      </c>
      <c r="D8" s="96" t="s">
        <v>83</v>
      </c>
      <c r="E8" s="97">
        <v>44483</v>
      </c>
      <c r="F8" s="98" t="s">
        <v>84</v>
      </c>
      <c r="G8" s="97" t="s">
        <v>363</v>
      </c>
      <c r="H8" s="99" t="s">
        <v>364</v>
      </c>
      <c r="I8" s="100">
        <v>87</v>
      </c>
      <c r="J8" s="100">
        <v>38</v>
      </c>
      <c r="K8" s="100">
        <v>15</v>
      </c>
      <c r="L8" s="100">
        <v>13</v>
      </c>
      <c r="M8" s="101">
        <v>12.397500000000001</v>
      </c>
      <c r="N8" s="107">
        <v>13</v>
      </c>
      <c r="O8" s="64">
        <v>7000</v>
      </c>
      <c r="P8" s="65">
        <f>Table2245789101123456789101112131415161718192021[[#This Row],[PEMBULATAN]]*O8</f>
        <v>91000</v>
      </c>
    </row>
    <row r="9" spans="1:16" ht="28.5" customHeight="1" x14ac:dyDescent="0.2">
      <c r="A9" s="14"/>
      <c r="B9" s="14"/>
      <c r="C9" s="95" t="s">
        <v>421</v>
      </c>
      <c r="D9" s="96" t="s">
        <v>83</v>
      </c>
      <c r="E9" s="97">
        <v>44483</v>
      </c>
      <c r="F9" s="98" t="s">
        <v>84</v>
      </c>
      <c r="G9" s="97" t="s">
        <v>363</v>
      </c>
      <c r="H9" s="99" t="s">
        <v>364</v>
      </c>
      <c r="I9" s="100">
        <v>41</v>
      </c>
      <c r="J9" s="100">
        <v>30</v>
      </c>
      <c r="K9" s="100">
        <v>21</v>
      </c>
      <c r="L9" s="100">
        <v>2</v>
      </c>
      <c r="M9" s="101">
        <v>6.4574999999999996</v>
      </c>
      <c r="N9" s="107">
        <v>7</v>
      </c>
      <c r="O9" s="64">
        <v>7000</v>
      </c>
      <c r="P9" s="65">
        <f>Table2245789101123456789101112131415161718192021[[#This Row],[PEMBULATAN]]*O9</f>
        <v>49000</v>
      </c>
    </row>
    <row r="10" spans="1:16" ht="28.5" customHeight="1" x14ac:dyDescent="0.2">
      <c r="A10" s="14"/>
      <c r="B10" s="14"/>
      <c r="C10" s="95" t="s">
        <v>422</v>
      </c>
      <c r="D10" s="96" t="s">
        <v>83</v>
      </c>
      <c r="E10" s="97">
        <v>44483</v>
      </c>
      <c r="F10" s="98" t="s">
        <v>84</v>
      </c>
      <c r="G10" s="97" t="s">
        <v>363</v>
      </c>
      <c r="H10" s="99" t="s">
        <v>364</v>
      </c>
      <c r="I10" s="100">
        <v>52</v>
      </c>
      <c r="J10" s="100">
        <v>38</v>
      </c>
      <c r="K10" s="100">
        <v>40</v>
      </c>
      <c r="L10" s="100">
        <v>11</v>
      </c>
      <c r="M10" s="101">
        <v>19.760000000000002</v>
      </c>
      <c r="N10" s="107">
        <v>19.760000000000002</v>
      </c>
      <c r="O10" s="64">
        <v>7000</v>
      </c>
      <c r="P10" s="65">
        <f>Table2245789101123456789101112131415161718192021[[#This Row],[PEMBULATAN]]*O10</f>
        <v>138320</v>
      </c>
    </row>
    <row r="11" spans="1:16" ht="28.5" customHeight="1" x14ac:dyDescent="0.2">
      <c r="A11" s="14"/>
      <c r="B11" s="14"/>
      <c r="C11" s="95" t="s">
        <v>423</v>
      </c>
      <c r="D11" s="96" t="s">
        <v>83</v>
      </c>
      <c r="E11" s="97">
        <v>44483</v>
      </c>
      <c r="F11" s="98" t="s">
        <v>84</v>
      </c>
      <c r="G11" s="97" t="s">
        <v>363</v>
      </c>
      <c r="H11" s="99" t="s">
        <v>364</v>
      </c>
      <c r="I11" s="100">
        <v>63</v>
      </c>
      <c r="J11" s="100">
        <v>32</v>
      </c>
      <c r="K11" s="100">
        <v>25</v>
      </c>
      <c r="L11" s="100">
        <v>16</v>
      </c>
      <c r="M11" s="101">
        <v>12.6</v>
      </c>
      <c r="N11" s="107">
        <v>16</v>
      </c>
      <c r="O11" s="64">
        <v>7000</v>
      </c>
      <c r="P11" s="65">
        <f>Table2245789101123456789101112131415161718192021[[#This Row],[PEMBULATAN]]*O11</f>
        <v>112000</v>
      </c>
    </row>
    <row r="12" spans="1:16" ht="28.5" customHeight="1" x14ac:dyDescent="0.2">
      <c r="A12" s="14"/>
      <c r="B12" s="14"/>
      <c r="C12" s="95" t="s">
        <v>424</v>
      </c>
      <c r="D12" s="96" t="s">
        <v>83</v>
      </c>
      <c r="E12" s="97">
        <v>44483</v>
      </c>
      <c r="F12" s="98" t="s">
        <v>84</v>
      </c>
      <c r="G12" s="97" t="s">
        <v>363</v>
      </c>
      <c r="H12" s="99" t="s">
        <v>364</v>
      </c>
      <c r="I12" s="100">
        <v>40</v>
      </c>
      <c r="J12" s="100">
        <v>33</v>
      </c>
      <c r="K12" s="100">
        <v>27</v>
      </c>
      <c r="L12" s="100">
        <v>13</v>
      </c>
      <c r="M12" s="101">
        <v>8.91</v>
      </c>
      <c r="N12" s="107">
        <v>13</v>
      </c>
      <c r="O12" s="64">
        <v>7000</v>
      </c>
      <c r="P12" s="65">
        <f>Table2245789101123456789101112131415161718192021[[#This Row],[PEMBULATAN]]*O12</f>
        <v>91000</v>
      </c>
    </row>
    <row r="13" spans="1:16" ht="28.5" customHeight="1" x14ac:dyDescent="0.2">
      <c r="A13" s="14"/>
      <c r="B13" s="14"/>
      <c r="C13" s="95" t="s">
        <v>425</v>
      </c>
      <c r="D13" s="96" t="s">
        <v>83</v>
      </c>
      <c r="E13" s="97">
        <v>44483</v>
      </c>
      <c r="F13" s="98" t="s">
        <v>84</v>
      </c>
      <c r="G13" s="97" t="s">
        <v>363</v>
      </c>
      <c r="H13" s="99" t="s">
        <v>364</v>
      </c>
      <c r="I13" s="100">
        <v>59</v>
      </c>
      <c r="J13" s="100">
        <v>34</v>
      </c>
      <c r="K13" s="100">
        <v>21</v>
      </c>
      <c r="L13" s="100">
        <v>7</v>
      </c>
      <c r="M13" s="101">
        <v>10.531499999999999</v>
      </c>
      <c r="N13" s="107">
        <v>10.531499999999999</v>
      </c>
      <c r="O13" s="64">
        <v>7000</v>
      </c>
      <c r="P13" s="65">
        <f>Table2245789101123456789101112131415161718192021[[#This Row],[PEMBULATAN]]*O13</f>
        <v>73720.5</v>
      </c>
    </row>
    <row r="14" spans="1:16" ht="28.5" customHeight="1" x14ac:dyDescent="0.2">
      <c r="A14" s="14"/>
      <c r="B14" s="14"/>
      <c r="C14" s="95" t="s">
        <v>426</v>
      </c>
      <c r="D14" s="96" t="s">
        <v>83</v>
      </c>
      <c r="E14" s="97">
        <v>44483</v>
      </c>
      <c r="F14" s="98" t="s">
        <v>84</v>
      </c>
      <c r="G14" s="97" t="s">
        <v>363</v>
      </c>
      <c r="H14" s="99" t="s">
        <v>364</v>
      </c>
      <c r="I14" s="100">
        <v>86</v>
      </c>
      <c r="J14" s="100">
        <v>42</v>
      </c>
      <c r="K14" s="100">
        <v>21</v>
      </c>
      <c r="L14" s="100">
        <v>5</v>
      </c>
      <c r="M14" s="101">
        <v>18.963000000000001</v>
      </c>
      <c r="N14" s="107">
        <v>18.963000000000001</v>
      </c>
      <c r="O14" s="64">
        <v>7000</v>
      </c>
      <c r="P14" s="65">
        <f>Table2245789101123456789101112131415161718192021[[#This Row],[PEMBULATAN]]*O14</f>
        <v>132741</v>
      </c>
    </row>
    <row r="15" spans="1:16" ht="28.5" customHeight="1" x14ac:dyDescent="0.2">
      <c r="A15" s="14"/>
      <c r="B15" s="14"/>
      <c r="C15" s="95" t="s">
        <v>427</v>
      </c>
      <c r="D15" s="96" t="s">
        <v>83</v>
      </c>
      <c r="E15" s="97">
        <v>44483</v>
      </c>
      <c r="F15" s="98" t="s">
        <v>84</v>
      </c>
      <c r="G15" s="97" t="s">
        <v>363</v>
      </c>
      <c r="H15" s="99" t="s">
        <v>364</v>
      </c>
      <c r="I15" s="100">
        <v>35</v>
      </c>
      <c r="J15" s="100">
        <v>35</v>
      </c>
      <c r="K15" s="100">
        <v>47</v>
      </c>
      <c r="L15" s="100">
        <v>14</v>
      </c>
      <c r="M15" s="101">
        <v>14.393750000000001</v>
      </c>
      <c r="N15" s="107">
        <v>15</v>
      </c>
      <c r="O15" s="64">
        <v>7000</v>
      </c>
      <c r="P15" s="65">
        <f>Table2245789101123456789101112131415161718192021[[#This Row],[PEMBULATAN]]*O15</f>
        <v>105000</v>
      </c>
    </row>
    <row r="16" spans="1:16" ht="28.5" customHeight="1" x14ac:dyDescent="0.2">
      <c r="A16" s="14"/>
      <c r="B16" s="14"/>
      <c r="C16" s="95" t="s">
        <v>428</v>
      </c>
      <c r="D16" s="96" t="s">
        <v>83</v>
      </c>
      <c r="E16" s="97">
        <v>44483</v>
      </c>
      <c r="F16" s="98" t="s">
        <v>84</v>
      </c>
      <c r="G16" s="97" t="s">
        <v>363</v>
      </c>
      <c r="H16" s="99" t="s">
        <v>364</v>
      </c>
      <c r="I16" s="100">
        <v>92</v>
      </c>
      <c r="J16" s="100">
        <v>32</v>
      </c>
      <c r="K16" s="100">
        <v>13</v>
      </c>
      <c r="L16" s="100">
        <v>5</v>
      </c>
      <c r="M16" s="101">
        <v>9.5679999999999996</v>
      </c>
      <c r="N16" s="107">
        <v>9.5679999999999996</v>
      </c>
      <c r="O16" s="64">
        <v>7000</v>
      </c>
      <c r="P16" s="65">
        <f>Table2245789101123456789101112131415161718192021[[#This Row],[PEMBULATAN]]*O16</f>
        <v>66976</v>
      </c>
    </row>
    <row r="17" spans="1:16" ht="28.5" customHeight="1" x14ac:dyDescent="0.2">
      <c r="A17" s="14"/>
      <c r="B17" s="14"/>
      <c r="C17" s="95" t="s">
        <v>429</v>
      </c>
      <c r="D17" s="96" t="s">
        <v>83</v>
      </c>
      <c r="E17" s="97">
        <v>44483</v>
      </c>
      <c r="F17" s="98" t="s">
        <v>84</v>
      </c>
      <c r="G17" s="97" t="s">
        <v>363</v>
      </c>
      <c r="H17" s="99" t="s">
        <v>364</v>
      </c>
      <c r="I17" s="100">
        <v>53</v>
      </c>
      <c r="J17" s="100">
        <v>49</v>
      </c>
      <c r="K17" s="100">
        <v>25</v>
      </c>
      <c r="L17" s="100">
        <v>12</v>
      </c>
      <c r="M17" s="101">
        <v>16.231249999999999</v>
      </c>
      <c r="N17" s="107">
        <v>16.231249999999999</v>
      </c>
      <c r="O17" s="64">
        <v>7000</v>
      </c>
      <c r="P17" s="65">
        <f>Table2245789101123456789101112131415161718192021[[#This Row],[PEMBULATAN]]*O17</f>
        <v>113618.75</v>
      </c>
    </row>
    <row r="18" spans="1:16" ht="28.5" customHeight="1" x14ac:dyDescent="0.2">
      <c r="A18" s="14"/>
      <c r="B18" s="14"/>
      <c r="C18" s="95" t="s">
        <v>430</v>
      </c>
      <c r="D18" s="96" t="s">
        <v>83</v>
      </c>
      <c r="E18" s="97">
        <v>44483</v>
      </c>
      <c r="F18" s="98" t="s">
        <v>84</v>
      </c>
      <c r="G18" s="97" t="s">
        <v>363</v>
      </c>
      <c r="H18" s="99" t="s">
        <v>364</v>
      </c>
      <c r="I18" s="100">
        <v>39</v>
      </c>
      <c r="J18" s="100">
        <v>4</v>
      </c>
      <c r="K18" s="100">
        <v>22</v>
      </c>
      <c r="L18" s="100">
        <v>6</v>
      </c>
      <c r="M18" s="101">
        <v>0.85799999999999998</v>
      </c>
      <c r="N18" s="107">
        <v>6</v>
      </c>
      <c r="O18" s="64">
        <v>7000</v>
      </c>
      <c r="P18" s="65">
        <f>Table2245789101123456789101112131415161718192021[[#This Row],[PEMBULATAN]]*O18</f>
        <v>42000</v>
      </c>
    </row>
    <row r="19" spans="1:16" ht="28.5" customHeight="1" x14ac:dyDescent="0.2">
      <c r="A19" s="14"/>
      <c r="B19" s="14"/>
      <c r="C19" s="95" t="s">
        <v>431</v>
      </c>
      <c r="D19" s="96" t="s">
        <v>83</v>
      </c>
      <c r="E19" s="97">
        <v>44483</v>
      </c>
      <c r="F19" s="98" t="s">
        <v>84</v>
      </c>
      <c r="G19" s="97" t="s">
        <v>363</v>
      </c>
      <c r="H19" s="99" t="s">
        <v>364</v>
      </c>
      <c r="I19" s="100">
        <v>75</v>
      </c>
      <c r="J19" s="100">
        <v>52</v>
      </c>
      <c r="K19" s="100">
        <v>23</v>
      </c>
      <c r="L19" s="100">
        <v>18</v>
      </c>
      <c r="M19" s="101">
        <v>22.425000000000001</v>
      </c>
      <c r="N19" s="107">
        <v>23</v>
      </c>
      <c r="O19" s="64">
        <v>7000</v>
      </c>
      <c r="P19" s="65">
        <f>Table2245789101123456789101112131415161718192021[[#This Row],[PEMBULATAN]]*O19</f>
        <v>161000</v>
      </c>
    </row>
    <row r="20" spans="1:16" ht="28.5" customHeight="1" x14ac:dyDescent="0.2">
      <c r="A20" s="14"/>
      <c r="B20" s="14"/>
      <c r="C20" s="95" t="s">
        <v>432</v>
      </c>
      <c r="D20" s="96" t="s">
        <v>83</v>
      </c>
      <c r="E20" s="97">
        <v>44483</v>
      </c>
      <c r="F20" s="98" t="s">
        <v>84</v>
      </c>
      <c r="G20" s="97" t="s">
        <v>363</v>
      </c>
      <c r="H20" s="99" t="s">
        <v>364</v>
      </c>
      <c r="I20" s="100">
        <v>36</v>
      </c>
      <c r="J20" s="100">
        <v>33</v>
      </c>
      <c r="K20" s="100">
        <v>35</v>
      </c>
      <c r="L20" s="100">
        <v>3</v>
      </c>
      <c r="M20" s="101">
        <v>10.395</v>
      </c>
      <c r="N20" s="107">
        <v>11</v>
      </c>
      <c r="O20" s="64">
        <v>7000</v>
      </c>
      <c r="P20" s="65">
        <f>Table2245789101123456789101112131415161718192021[[#This Row],[PEMBULATAN]]*O20</f>
        <v>77000</v>
      </c>
    </row>
    <row r="21" spans="1:16" ht="28.5" customHeight="1" x14ac:dyDescent="0.2">
      <c r="A21" s="14"/>
      <c r="B21" s="14"/>
      <c r="C21" s="95" t="s">
        <v>433</v>
      </c>
      <c r="D21" s="96" t="s">
        <v>83</v>
      </c>
      <c r="E21" s="97">
        <v>44483</v>
      </c>
      <c r="F21" s="98" t="s">
        <v>84</v>
      </c>
      <c r="G21" s="97" t="s">
        <v>363</v>
      </c>
      <c r="H21" s="99" t="s">
        <v>364</v>
      </c>
      <c r="I21" s="100">
        <v>36</v>
      </c>
      <c r="J21" s="100">
        <v>37</v>
      </c>
      <c r="K21" s="100">
        <v>33</v>
      </c>
      <c r="L21" s="100">
        <v>18</v>
      </c>
      <c r="M21" s="101">
        <v>10.989000000000001</v>
      </c>
      <c r="N21" s="107">
        <v>18</v>
      </c>
      <c r="O21" s="64">
        <v>7000</v>
      </c>
      <c r="P21" s="65">
        <f>Table2245789101123456789101112131415161718192021[[#This Row],[PEMBULATAN]]*O21</f>
        <v>126000</v>
      </c>
    </row>
    <row r="22" spans="1:16" ht="28.5" customHeight="1" x14ac:dyDescent="0.2">
      <c r="A22" s="14"/>
      <c r="B22" s="110"/>
      <c r="C22" s="95" t="s">
        <v>434</v>
      </c>
      <c r="D22" s="96" t="s">
        <v>83</v>
      </c>
      <c r="E22" s="97">
        <v>44483</v>
      </c>
      <c r="F22" s="98" t="s">
        <v>84</v>
      </c>
      <c r="G22" s="97" t="s">
        <v>363</v>
      </c>
      <c r="H22" s="99" t="s">
        <v>364</v>
      </c>
      <c r="I22" s="100">
        <v>63</v>
      </c>
      <c r="J22" s="100">
        <v>30</v>
      </c>
      <c r="K22" s="100">
        <v>34</v>
      </c>
      <c r="L22" s="100">
        <v>11</v>
      </c>
      <c r="M22" s="101">
        <v>16.065000000000001</v>
      </c>
      <c r="N22" s="107">
        <v>16.065000000000001</v>
      </c>
      <c r="O22" s="64">
        <v>7000</v>
      </c>
      <c r="P22" s="65">
        <f>Table2245789101123456789101112131415161718192021[[#This Row],[PEMBULATAN]]*O22</f>
        <v>112455.00000000001</v>
      </c>
    </row>
    <row r="23" spans="1:16" ht="28.5" customHeight="1" x14ac:dyDescent="0.2">
      <c r="A23" s="14"/>
      <c r="B23" s="14" t="s">
        <v>435</v>
      </c>
      <c r="C23" s="95" t="s">
        <v>436</v>
      </c>
      <c r="D23" s="96" t="s">
        <v>83</v>
      </c>
      <c r="E23" s="97">
        <v>44483</v>
      </c>
      <c r="F23" s="98" t="s">
        <v>84</v>
      </c>
      <c r="G23" s="97" t="s">
        <v>363</v>
      </c>
      <c r="H23" s="99" t="s">
        <v>364</v>
      </c>
      <c r="I23" s="100">
        <v>48</v>
      </c>
      <c r="J23" s="100">
        <v>30</v>
      </c>
      <c r="K23" s="100">
        <v>26</v>
      </c>
      <c r="L23" s="100">
        <v>10</v>
      </c>
      <c r="M23" s="101">
        <v>9.36</v>
      </c>
      <c r="N23" s="107">
        <v>10</v>
      </c>
      <c r="O23" s="64">
        <v>7000</v>
      </c>
      <c r="P23" s="65">
        <f>Table2245789101123456789101112131415161718192021[[#This Row],[PEMBULATAN]]*O23</f>
        <v>70000</v>
      </c>
    </row>
    <row r="24" spans="1:16" ht="28.5" customHeight="1" x14ac:dyDescent="0.2">
      <c r="A24" s="14"/>
      <c r="B24" s="14"/>
      <c r="C24" s="95" t="s">
        <v>437</v>
      </c>
      <c r="D24" s="96" t="s">
        <v>83</v>
      </c>
      <c r="E24" s="97">
        <v>44483</v>
      </c>
      <c r="F24" s="98" t="s">
        <v>84</v>
      </c>
      <c r="G24" s="97" t="s">
        <v>363</v>
      </c>
      <c r="H24" s="99" t="s">
        <v>364</v>
      </c>
      <c r="I24" s="100">
        <v>58</v>
      </c>
      <c r="J24" s="100">
        <v>37</v>
      </c>
      <c r="K24" s="100">
        <v>2</v>
      </c>
      <c r="L24" s="100">
        <v>33</v>
      </c>
      <c r="M24" s="101">
        <v>1.073</v>
      </c>
      <c r="N24" s="107">
        <v>33</v>
      </c>
      <c r="O24" s="64">
        <v>7000</v>
      </c>
      <c r="P24" s="65">
        <f>Table2245789101123456789101112131415161718192021[[#This Row],[PEMBULATAN]]*O24</f>
        <v>231000</v>
      </c>
    </row>
    <row r="25" spans="1:16" ht="28.5" customHeight="1" x14ac:dyDescent="0.2">
      <c r="A25" s="14"/>
      <c r="B25" s="14"/>
      <c r="C25" s="95" t="s">
        <v>438</v>
      </c>
      <c r="D25" s="96" t="s">
        <v>83</v>
      </c>
      <c r="E25" s="97">
        <v>44483</v>
      </c>
      <c r="F25" s="98" t="s">
        <v>84</v>
      </c>
      <c r="G25" s="97" t="s">
        <v>363</v>
      </c>
      <c r="H25" s="99" t="s">
        <v>364</v>
      </c>
      <c r="I25" s="100">
        <v>57</v>
      </c>
      <c r="J25" s="100">
        <v>26</v>
      </c>
      <c r="K25" s="100">
        <v>12</v>
      </c>
      <c r="L25" s="100">
        <v>13</v>
      </c>
      <c r="M25" s="101">
        <v>4.4459999999999997</v>
      </c>
      <c r="N25" s="107">
        <v>13</v>
      </c>
      <c r="O25" s="64">
        <v>7000</v>
      </c>
      <c r="P25" s="65">
        <f>Table2245789101123456789101112131415161718192021[[#This Row],[PEMBULATAN]]*O25</f>
        <v>91000</v>
      </c>
    </row>
    <row r="26" spans="1:16" ht="28.5" customHeight="1" x14ac:dyDescent="0.2">
      <c r="A26" s="14"/>
      <c r="B26" s="14"/>
      <c r="C26" s="95" t="s">
        <v>439</v>
      </c>
      <c r="D26" s="96" t="s">
        <v>83</v>
      </c>
      <c r="E26" s="97">
        <v>44483</v>
      </c>
      <c r="F26" s="98" t="s">
        <v>84</v>
      </c>
      <c r="G26" s="97" t="s">
        <v>363</v>
      </c>
      <c r="H26" s="99" t="s">
        <v>364</v>
      </c>
      <c r="I26" s="100">
        <v>67</v>
      </c>
      <c r="J26" s="100">
        <v>54</v>
      </c>
      <c r="K26" s="100">
        <v>21</v>
      </c>
      <c r="L26" s="100">
        <v>13</v>
      </c>
      <c r="M26" s="101">
        <v>18.994499999999999</v>
      </c>
      <c r="N26" s="107">
        <v>18.994499999999999</v>
      </c>
      <c r="O26" s="64">
        <v>7000</v>
      </c>
      <c r="P26" s="65">
        <f>Table2245789101123456789101112131415161718192021[[#This Row],[PEMBULATAN]]*O26</f>
        <v>132961.5</v>
      </c>
    </row>
    <row r="27" spans="1:16" ht="28.5" customHeight="1" x14ac:dyDescent="0.2">
      <c r="A27" s="14"/>
      <c r="B27" s="14"/>
      <c r="C27" s="95" t="s">
        <v>440</v>
      </c>
      <c r="D27" s="96" t="s">
        <v>83</v>
      </c>
      <c r="E27" s="97">
        <v>44483</v>
      </c>
      <c r="F27" s="98" t="s">
        <v>84</v>
      </c>
      <c r="G27" s="97" t="s">
        <v>363</v>
      </c>
      <c r="H27" s="99" t="s">
        <v>364</v>
      </c>
      <c r="I27" s="100">
        <v>147</v>
      </c>
      <c r="J27" s="100">
        <v>40</v>
      </c>
      <c r="K27" s="100">
        <v>45</v>
      </c>
      <c r="L27" s="100">
        <v>45</v>
      </c>
      <c r="M27" s="101">
        <v>66.150000000000006</v>
      </c>
      <c r="N27" s="107">
        <v>66.150000000000006</v>
      </c>
      <c r="O27" s="64">
        <v>7000</v>
      </c>
      <c r="P27" s="65">
        <f>Table2245789101123456789101112131415161718192021[[#This Row],[PEMBULATAN]]*O27</f>
        <v>463050.00000000006</v>
      </c>
    </row>
    <row r="28" spans="1:16" ht="22.5" customHeight="1" x14ac:dyDescent="0.2">
      <c r="A28" s="143" t="s">
        <v>30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5"/>
      <c r="M28" s="78">
        <f>SUBTOTAL(109,Table2245789101123456789101112131415161718192021[KG VOLUME])</f>
        <v>360.63850000000002</v>
      </c>
      <c r="N28" s="68">
        <f>SUM(N3:N27)</f>
        <v>430.14025000000004</v>
      </c>
      <c r="O28" s="146">
        <f>SUM(P3:P27)</f>
        <v>3010981.75</v>
      </c>
      <c r="P28" s="147"/>
    </row>
    <row r="29" spans="1:16" ht="18" customHeight="1" x14ac:dyDescent="0.2">
      <c r="A29" s="85"/>
      <c r="B29" s="56" t="s">
        <v>42</v>
      </c>
      <c r="C29" s="55"/>
      <c r="D29" s="57" t="s">
        <v>43</v>
      </c>
      <c r="E29" s="85"/>
      <c r="F29" s="85"/>
      <c r="G29" s="85"/>
      <c r="H29" s="85"/>
      <c r="I29" s="85"/>
      <c r="J29" s="85"/>
      <c r="K29" s="85"/>
      <c r="L29" s="85"/>
      <c r="M29" s="86"/>
      <c r="N29" s="87" t="s">
        <v>52</v>
      </c>
      <c r="O29" s="88"/>
      <c r="P29" s="88">
        <v>0</v>
      </c>
    </row>
    <row r="30" spans="1:16" ht="18" customHeight="1" thickBot="1" x14ac:dyDescent="0.25">
      <c r="A30" s="85"/>
      <c r="B30" s="56"/>
      <c r="C30" s="55"/>
      <c r="D30" s="57"/>
      <c r="E30" s="85"/>
      <c r="F30" s="85"/>
      <c r="G30" s="85"/>
      <c r="H30" s="85"/>
      <c r="I30" s="85"/>
      <c r="J30" s="85"/>
      <c r="K30" s="85"/>
      <c r="L30" s="85"/>
      <c r="M30" s="86"/>
      <c r="N30" s="89" t="s">
        <v>53</v>
      </c>
      <c r="O30" s="90"/>
      <c r="P30" s="90">
        <f>O28-P29</f>
        <v>3010981.75</v>
      </c>
    </row>
    <row r="31" spans="1:16" ht="18" customHeight="1" x14ac:dyDescent="0.2">
      <c r="A31" s="11"/>
      <c r="H31" s="63"/>
      <c r="N31" s="62" t="s">
        <v>31</v>
      </c>
      <c r="P31" s="69">
        <f>P30*1%</f>
        <v>30109.817500000001</v>
      </c>
    </row>
    <row r="32" spans="1:16" ht="18" customHeight="1" thickBot="1" x14ac:dyDescent="0.25">
      <c r="A32" s="11"/>
      <c r="H32" s="63"/>
      <c r="N32" s="62" t="s">
        <v>54</v>
      </c>
      <c r="P32" s="71">
        <f>P30*2%</f>
        <v>60219.635000000002</v>
      </c>
    </row>
    <row r="33" spans="1:16" ht="18" customHeight="1" x14ac:dyDescent="0.2">
      <c r="A33" s="11"/>
      <c r="H33" s="63"/>
      <c r="N33" s="66" t="s">
        <v>32</v>
      </c>
      <c r="O33" s="67"/>
      <c r="P33" s="70">
        <f>P30+P31-P32</f>
        <v>2980871.9325000001</v>
      </c>
    </row>
    <row r="35" spans="1:16" x14ac:dyDescent="0.2">
      <c r="A35" s="11"/>
      <c r="H35" s="63"/>
      <c r="P35" s="71"/>
    </row>
    <row r="36" spans="1:16" x14ac:dyDescent="0.2">
      <c r="A36" s="11"/>
      <c r="H36" s="63"/>
      <c r="O36" s="58"/>
      <c r="P36" s="71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</sheetData>
  <mergeCells count="2">
    <mergeCell ref="A28:L28"/>
    <mergeCell ref="O28:P28"/>
  </mergeCells>
  <conditionalFormatting sqref="B3">
    <cfRule type="duplicateValues" dxfId="596" priority="2"/>
  </conditionalFormatting>
  <conditionalFormatting sqref="B4">
    <cfRule type="duplicateValues" dxfId="595" priority="1"/>
  </conditionalFormatting>
  <conditionalFormatting sqref="B5:B27">
    <cfRule type="duplicateValues" dxfId="594" priority="4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2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O19" sqref="O1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402230</v>
      </c>
      <c r="B3" s="73" t="s">
        <v>441</v>
      </c>
      <c r="C3" s="9" t="s">
        <v>442</v>
      </c>
      <c r="D3" s="75" t="s">
        <v>83</v>
      </c>
      <c r="E3" s="13">
        <v>44483</v>
      </c>
      <c r="F3" s="75" t="s">
        <v>84</v>
      </c>
      <c r="G3" s="13" t="s">
        <v>363</v>
      </c>
      <c r="H3" s="10" t="s">
        <v>364</v>
      </c>
      <c r="I3" s="1">
        <v>32</v>
      </c>
      <c r="J3" s="1">
        <v>43</v>
      </c>
      <c r="K3" s="1">
        <v>27</v>
      </c>
      <c r="L3" s="1">
        <v>7</v>
      </c>
      <c r="M3" s="79">
        <v>9.2880000000000003</v>
      </c>
      <c r="N3" s="103">
        <v>9.2880000000000003</v>
      </c>
      <c r="O3" s="64">
        <v>7000</v>
      </c>
      <c r="P3" s="65">
        <f>Table224578910112345678910111213141516171819202122[[#This Row],[PEMBULATAN]]*O3</f>
        <v>65016</v>
      </c>
    </row>
    <row r="4" spans="1:16" ht="26.25" customHeight="1" x14ac:dyDescent="0.2">
      <c r="A4" s="14"/>
      <c r="B4" s="108"/>
      <c r="C4" s="9" t="s">
        <v>443</v>
      </c>
      <c r="D4" s="75" t="s">
        <v>83</v>
      </c>
      <c r="E4" s="13">
        <v>44483</v>
      </c>
      <c r="F4" s="75" t="s">
        <v>84</v>
      </c>
      <c r="G4" s="13" t="s">
        <v>363</v>
      </c>
      <c r="H4" s="10" t="s">
        <v>364</v>
      </c>
      <c r="I4" s="1">
        <v>30</v>
      </c>
      <c r="J4" s="1">
        <v>17</v>
      </c>
      <c r="K4" s="1">
        <v>20</v>
      </c>
      <c r="L4" s="1">
        <v>6</v>
      </c>
      <c r="M4" s="79">
        <v>2.5499999999999998</v>
      </c>
      <c r="N4" s="103">
        <v>6</v>
      </c>
      <c r="O4" s="64">
        <v>7000</v>
      </c>
      <c r="P4" s="65">
        <f>Table224578910112345678910111213141516171819202122[[#This Row],[PEMBULATAN]]*O4</f>
        <v>42000</v>
      </c>
    </row>
    <row r="5" spans="1:16" ht="26.25" customHeight="1" x14ac:dyDescent="0.2">
      <c r="A5" s="14"/>
      <c r="B5" s="110" t="s">
        <v>444</v>
      </c>
      <c r="C5" s="9" t="s">
        <v>445</v>
      </c>
      <c r="D5" s="75" t="s">
        <v>83</v>
      </c>
      <c r="E5" s="13">
        <v>44483</v>
      </c>
      <c r="F5" s="75" t="s">
        <v>84</v>
      </c>
      <c r="G5" s="13" t="s">
        <v>363</v>
      </c>
      <c r="H5" s="10" t="s">
        <v>364</v>
      </c>
      <c r="I5" s="1">
        <v>50</v>
      </c>
      <c r="J5" s="1">
        <v>33</v>
      </c>
      <c r="K5" s="1">
        <v>33</v>
      </c>
      <c r="L5" s="1">
        <v>4</v>
      </c>
      <c r="M5" s="79">
        <v>13.612500000000001</v>
      </c>
      <c r="N5" s="103">
        <v>13.612500000000001</v>
      </c>
      <c r="O5" s="64">
        <v>7000</v>
      </c>
      <c r="P5" s="65">
        <f>Table224578910112345678910111213141516171819202122[[#This Row],[PEMBULATAN]]*O5</f>
        <v>95287.5</v>
      </c>
    </row>
    <row r="6" spans="1:16" ht="26.25" customHeight="1" x14ac:dyDescent="0.2">
      <c r="A6" s="14"/>
      <c r="B6" s="14" t="s">
        <v>446</v>
      </c>
      <c r="C6" s="72" t="s">
        <v>447</v>
      </c>
      <c r="D6" s="77" t="s">
        <v>83</v>
      </c>
      <c r="E6" s="13">
        <v>44483</v>
      </c>
      <c r="F6" s="75" t="s">
        <v>84</v>
      </c>
      <c r="G6" s="13" t="s">
        <v>363</v>
      </c>
      <c r="H6" s="76" t="s">
        <v>364</v>
      </c>
      <c r="I6" s="16">
        <v>42</v>
      </c>
      <c r="J6" s="16">
        <v>31</v>
      </c>
      <c r="K6" s="16">
        <v>14</v>
      </c>
      <c r="L6" s="16">
        <v>10</v>
      </c>
      <c r="M6" s="80">
        <v>4.5570000000000004</v>
      </c>
      <c r="N6" s="103">
        <v>10</v>
      </c>
      <c r="O6" s="64">
        <v>7000</v>
      </c>
      <c r="P6" s="65">
        <f>Table224578910112345678910111213141516171819202122[[#This Row],[PEMBULATAN]]*O6</f>
        <v>70000</v>
      </c>
    </row>
    <row r="7" spans="1:16" ht="26.25" customHeight="1" x14ac:dyDescent="0.2">
      <c r="A7" s="14"/>
      <c r="B7" s="14"/>
      <c r="C7" s="95" t="s">
        <v>448</v>
      </c>
      <c r="D7" s="96" t="s">
        <v>83</v>
      </c>
      <c r="E7" s="97">
        <v>44483</v>
      </c>
      <c r="F7" s="98" t="s">
        <v>84</v>
      </c>
      <c r="G7" s="97" t="s">
        <v>363</v>
      </c>
      <c r="H7" s="99" t="s">
        <v>364</v>
      </c>
      <c r="I7" s="100">
        <v>46</v>
      </c>
      <c r="J7" s="100">
        <v>33</v>
      </c>
      <c r="K7" s="100">
        <v>13</v>
      </c>
      <c r="L7" s="100">
        <v>10</v>
      </c>
      <c r="M7" s="101">
        <v>4.9335000000000004</v>
      </c>
      <c r="N7" s="107">
        <v>10</v>
      </c>
      <c r="O7" s="64">
        <v>7000</v>
      </c>
      <c r="P7" s="65">
        <f>Table224578910112345678910111213141516171819202122[[#This Row],[PEMBULATAN]]*O7</f>
        <v>70000</v>
      </c>
    </row>
    <row r="8" spans="1:16" ht="26.25" customHeight="1" x14ac:dyDescent="0.2">
      <c r="A8" s="14"/>
      <c r="B8" s="14"/>
      <c r="C8" s="95" t="s">
        <v>449</v>
      </c>
      <c r="D8" s="96" t="s">
        <v>83</v>
      </c>
      <c r="E8" s="97">
        <v>44483</v>
      </c>
      <c r="F8" s="98" t="s">
        <v>84</v>
      </c>
      <c r="G8" s="97" t="s">
        <v>363</v>
      </c>
      <c r="H8" s="99" t="s">
        <v>364</v>
      </c>
      <c r="I8" s="100">
        <v>40</v>
      </c>
      <c r="J8" s="100">
        <v>26</v>
      </c>
      <c r="K8" s="100">
        <v>18</v>
      </c>
      <c r="L8" s="100">
        <v>10</v>
      </c>
      <c r="M8" s="101">
        <v>4.68</v>
      </c>
      <c r="N8" s="107">
        <v>10</v>
      </c>
      <c r="O8" s="64">
        <v>7000</v>
      </c>
      <c r="P8" s="65">
        <f>Table224578910112345678910111213141516171819202122[[#This Row],[PEMBULATAN]]*O8</f>
        <v>70000</v>
      </c>
    </row>
    <row r="9" spans="1:16" ht="26.25" customHeight="1" x14ac:dyDescent="0.2">
      <c r="A9" s="14"/>
      <c r="B9" s="14"/>
      <c r="C9" s="95" t="s">
        <v>450</v>
      </c>
      <c r="D9" s="96" t="s">
        <v>83</v>
      </c>
      <c r="E9" s="97">
        <v>44483</v>
      </c>
      <c r="F9" s="98" t="s">
        <v>84</v>
      </c>
      <c r="G9" s="97" t="s">
        <v>363</v>
      </c>
      <c r="H9" s="99" t="s">
        <v>364</v>
      </c>
      <c r="I9" s="100">
        <v>44</v>
      </c>
      <c r="J9" s="100">
        <v>27</v>
      </c>
      <c r="K9" s="100">
        <v>16</v>
      </c>
      <c r="L9" s="100">
        <v>5</v>
      </c>
      <c r="M9" s="101">
        <v>4.7519999999999998</v>
      </c>
      <c r="N9" s="107">
        <v>5</v>
      </c>
      <c r="O9" s="64">
        <v>7000</v>
      </c>
      <c r="P9" s="65">
        <f>Table224578910112345678910111213141516171819202122[[#This Row],[PEMBULATAN]]*O9</f>
        <v>35000</v>
      </c>
    </row>
    <row r="10" spans="1:16" ht="26.25" customHeight="1" x14ac:dyDescent="0.2">
      <c r="A10" s="14"/>
      <c r="B10" s="14"/>
      <c r="C10" s="95" t="s">
        <v>451</v>
      </c>
      <c r="D10" s="96" t="s">
        <v>83</v>
      </c>
      <c r="E10" s="97">
        <v>44483</v>
      </c>
      <c r="F10" s="98" t="s">
        <v>84</v>
      </c>
      <c r="G10" s="97" t="s">
        <v>363</v>
      </c>
      <c r="H10" s="99" t="s">
        <v>364</v>
      </c>
      <c r="I10" s="100">
        <v>44</v>
      </c>
      <c r="J10" s="100">
        <v>35</v>
      </c>
      <c r="K10" s="100">
        <v>32</v>
      </c>
      <c r="L10" s="100">
        <v>8</v>
      </c>
      <c r="M10" s="101">
        <v>12.32</v>
      </c>
      <c r="N10" s="107">
        <v>13</v>
      </c>
      <c r="O10" s="64">
        <v>7000</v>
      </c>
      <c r="P10" s="65">
        <f>Table224578910112345678910111213141516171819202122[[#This Row],[PEMBULATAN]]*O10</f>
        <v>91000</v>
      </c>
    </row>
    <row r="11" spans="1:16" ht="26.25" customHeight="1" x14ac:dyDescent="0.2">
      <c r="A11" s="14"/>
      <c r="B11" s="14"/>
      <c r="C11" s="95" t="s">
        <v>452</v>
      </c>
      <c r="D11" s="96" t="s">
        <v>83</v>
      </c>
      <c r="E11" s="97">
        <v>44483</v>
      </c>
      <c r="F11" s="98" t="s">
        <v>84</v>
      </c>
      <c r="G11" s="97" t="s">
        <v>363</v>
      </c>
      <c r="H11" s="99" t="s">
        <v>364</v>
      </c>
      <c r="I11" s="100">
        <v>44</v>
      </c>
      <c r="J11" s="100">
        <v>35</v>
      </c>
      <c r="K11" s="100">
        <v>32</v>
      </c>
      <c r="L11" s="100">
        <v>9</v>
      </c>
      <c r="M11" s="101">
        <v>12.32</v>
      </c>
      <c r="N11" s="107">
        <v>13</v>
      </c>
      <c r="O11" s="64">
        <v>7000</v>
      </c>
      <c r="P11" s="65">
        <f>Table224578910112345678910111213141516171819202122[[#This Row],[PEMBULATAN]]*O11</f>
        <v>91000</v>
      </c>
    </row>
    <row r="12" spans="1:16" ht="26.25" customHeight="1" x14ac:dyDescent="0.2">
      <c r="A12" s="14"/>
      <c r="B12" s="14"/>
      <c r="C12" s="95" t="s">
        <v>453</v>
      </c>
      <c r="D12" s="96" t="s">
        <v>83</v>
      </c>
      <c r="E12" s="97">
        <v>44483</v>
      </c>
      <c r="F12" s="98" t="s">
        <v>84</v>
      </c>
      <c r="G12" s="97" t="s">
        <v>363</v>
      </c>
      <c r="H12" s="99" t="s">
        <v>364</v>
      </c>
      <c r="I12" s="100">
        <v>35</v>
      </c>
      <c r="J12" s="100">
        <v>35</v>
      </c>
      <c r="K12" s="100">
        <v>19</v>
      </c>
      <c r="L12" s="100">
        <v>12</v>
      </c>
      <c r="M12" s="101">
        <v>5.8187499999999996</v>
      </c>
      <c r="N12" s="107">
        <v>12</v>
      </c>
      <c r="O12" s="64">
        <v>7000</v>
      </c>
      <c r="P12" s="65">
        <f>Table224578910112345678910111213141516171819202122[[#This Row],[PEMBULATAN]]*O12</f>
        <v>84000</v>
      </c>
    </row>
    <row r="13" spans="1:16" ht="26.25" customHeight="1" x14ac:dyDescent="0.2">
      <c r="A13" s="14"/>
      <c r="B13" s="14"/>
      <c r="C13" s="95" t="s">
        <v>454</v>
      </c>
      <c r="D13" s="96" t="s">
        <v>83</v>
      </c>
      <c r="E13" s="97">
        <v>44483</v>
      </c>
      <c r="F13" s="98" t="s">
        <v>84</v>
      </c>
      <c r="G13" s="97" t="s">
        <v>363</v>
      </c>
      <c r="H13" s="99" t="s">
        <v>364</v>
      </c>
      <c r="I13" s="100">
        <v>66</v>
      </c>
      <c r="J13" s="100">
        <v>57</v>
      </c>
      <c r="K13" s="100">
        <v>22</v>
      </c>
      <c r="L13" s="100">
        <v>14</v>
      </c>
      <c r="M13" s="101">
        <v>20.690999999999999</v>
      </c>
      <c r="N13" s="107">
        <v>20.690999999999999</v>
      </c>
      <c r="O13" s="64">
        <v>7000</v>
      </c>
      <c r="P13" s="65">
        <f>Table224578910112345678910111213141516171819202122[[#This Row],[PEMBULATAN]]*O13</f>
        <v>144837</v>
      </c>
    </row>
    <row r="14" spans="1:16" ht="26.25" customHeight="1" x14ac:dyDescent="0.2">
      <c r="A14" s="14"/>
      <c r="B14" s="14"/>
      <c r="C14" s="95" t="s">
        <v>455</v>
      </c>
      <c r="D14" s="96" t="s">
        <v>83</v>
      </c>
      <c r="E14" s="97">
        <v>44483</v>
      </c>
      <c r="F14" s="98" t="s">
        <v>84</v>
      </c>
      <c r="G14" s="97" t="s">
        <v>363</v>
      </c>
      <c r="H14" s="99" t="s">
        <v>364</v>
      </c>
      <c r="I14" s="100">
        <v>35</v>
      </c>
      <c r="J14" s="100">
        <v>35</v>
      </c>
      <c r="K14" s="100">
        <v>19</v>
      </c>
      <c r="L14" s="100">
        <v>12</v>
      </c>
      <c r="M14" s="101">
        <v>5.8187499999999996</v>
      </c>
      <c r="N14" s="107">
        <v>12</v>
      </c>
      <c r="O14" s="64">
        <v>7000</v>
      </c>
      <c r="P14" s="65">
        <f>Table224578910112345678910111213141516171819202122[[#This Row],[PEMBULATAN]]*O14</f>
        <v>84000</v>
      </c>
    </row>
    <row r="15" spans="1:16" ht="26.25" customHeight="1" x14ac:dyDescent="0.2">
      <c r="A15" s="14"/>
      <c r="B15" s="14"/>
      <c r="C15" s="95" t="s">
        <v>456</v>
      </c>
      <c r="D15" s="96" t="s">
        <v>83</v>
      </c>
      <c r="E15" s="97">
        <v>44483</v>
      </c>
      <c r="F15" s="98" t="s">
        <v>84</v>
      </c>
      <c r="G15" s="97" t="s">
        <v>363</v>
      </c>
      <c r="H15" s="99" t="s">
        <v>364</v>
      </c>
      <c r="I15" s="100">
        <v>44</v>
      </c>
      <c r="J15" s="100">
        <v>35</v>
      </c>
      <c r="K15" s="100">
        <v>32</v>
      </c>
      <c r="L15" s="100">
        <v>9</v>
      </c>
      <c r="M15" s="101">
        <v>12.32</v>
      </c>
      <c r="N15" s="107">
        <v>13</v>
      </c>
      <c r="O15" s="64">
        <v>7000</v>
      </c>
      <c r="P15" s="65">
        <f>Table224578910112345678910111213141516171819202122[[#This Row],[PEMBULATAN]]*O15</f>
        <v>91000</v>
      </c>
    </row>
    <row r="16" spans="1:16" ht="26.25" customHeight="1" x14ac:dyDescent="0.2">
      <c r="A16" s="14"/>
      <c r="B16" s="14"/>
      <c r="C16" s="95" t="s">
        <v>457</v>
      </c>
      <c r="D16" s="96" t="s">
        <v>83</v>
      </c>
      <c r="E16" s="97">
        <v>44483</v>
      </c>
      <c r="F16" s="98" t="s">
        <v>84</v>
      </c>
      <c r="G16" s="97" t="s">
        <v>363</v>
      </c>
      <c r="H16" s="99" t="s">
        <v>364</v>
      </c>
      <c r="I16" s="100">
        <v>35</v>
      </c>
      <c r="J16" s="100">
        <v>35</v>
      </c>
      <c r="K16" s="100">
        <v>19</v>
      </c>
      <c r="L16" s="100">
        <v>12</v>
      </c>
      <c r="M16" s="101">
        <v>5.8187499999999996</v>
      </c>
      <c r="N16" s="107">
        <v>12</v>
      </c>
      <c r="O16" s="64">
        <v>7000</v>
      </c>
      <c r="P16" s="65">
        <f>Table224578910112345678910111213141516171819202122[[#This Row],[PEMBULATAN]]*O16</f>
        <v>84000</v>
      </c>
    </row>
    <row r="17" spans="1:16" ht="26.25" customHeight="1" x14ac:dyDescent="0.2">
      <c r="A17" s="14"/>
      <c r="B17" s="14"/>
      <c r="C17" s="95" t="s">
        <v>458</v>
      </c>
      <c r="D17" s="96" t="s">
        <v>83</v>
      </c>
      <c r="E17" s="97">
        <v>44483</v>
      </c>
      <c r="F17" s="98" t="s">
        <v>84</v>
      </c>
      <c r="G17" s="97" t="s">
        <v>363</v>
      </c>
      <c r="H17" s="99" t="s">
        <v>364</v>
      </c>
      <c r="I17" s="100">
        <v>55</v>
      </c>
      <c r="J17" s="100">
        <v>43</v>
      </c>
      <c r="K17" s="100">
        <v>36</v>
      </c>
      <c r="L17" s="100">
        <v>8</v>
      </c>
      <c r="M17" s="101">
        <v>21.285</v>
      </c>
      <c r="N17" s="107">
        <v>21.285</v>
      </c>
      <c r="O17" s="64">
        <v>7000</v>
      </c>
      <c r="P17" s="65">
        <f>Table224578910112345678910111213141516171819202122[[#This Row],[PEMBULATAN]]*O17</f>
        <v>148995</v>
      </c>
    </row>
    <row r="18" spans="1:16" ht="26.25" customHeight="1" x14ac:dyDescent="0.2">
      <c r="A18" s="14"/>
      <c r="B18" s="14"/>
      <c r="C18" s="95" t="s">
        <v>459</v>
      </c>
      <c r="D18" s="96" t="s">
        <v>83</v>
      </c>
      <c r="E18" s="97">
        <v>44483</v>
      </c>
      <c r="F18" s="98" t="s">
        <v>84</v>
      </c>
      <c r="G18" s="97" t="s">
        <v>363</v>
      </c>
      <c r="H18" s="99" t="s">
        <v>364</v>
      </c>
      <c r="I18" s="100">
        <v>40</v>
      </c>
      <c r="J18" s="100">
        <v>30</v>
      </c>
      <c r="K18" s="100">
        <v>16</v>
      </c>
      <c r="L18" s="100">
        <v>10</v>
      </c>
      <c r="M18" s="101">
        <v>4.8</v>
      </c>
      <c r="N18" s="107">
        <v>10</v>
      </c>
      <c r="O18" s="64">
        <v>7000</v>
      </c>
      <c r="P18" s="65">
        <f>Table224578910112345678910111213141516171819202122[[#This Row],[PEMBULATAN]]*O18</f>
        <v>70000</v>
      </c>
    </row>
    <row r="19" spans="1:16" ht="26.25" customHeight="1" x14ac:dyDescent="0.2">
      <c r="A19" s="14"/>
      <c r="B19" s="14"/>
      <c r="C19" s="95" t="s">
        <v>460</v>
      </c>
      <c r="D19" s="96" t="s">
        <v>83</v>
      </c>
      <c r="E19" s="97">
        <v>44483</v>
      </c>
      <c r="F19" s="98" t="s">
        <v>84</v>
      </c>
      <c r="G19" s="97" t="s">
        <v>363</v>
      </c>
      <c r="H19" s="99" t="s">
        <v>364</v>
      </c>
      <c r="I19" s="100">
        <v>66</v>
      </c>
      <c r="J19" s="100">
        <v>57</v>
      </c>
      <c r="K19" s="100">
        <v>22</v>
      </c>
      <c r="L19" s="100">
        <v>14</v>
      </c>
      <c r="M19" s="101">
        <v>20.690999999999999</v>
      </c>
      <c r="N19" s="107">
        <v>20.690999999999999</v>
      </c>
      <c r="O19" s="64">
        <v>7000</v>
      </c>
      <c r="P19" s="65">
        <f>Table224578910112345678910111213141516171819202122[[#This Row],[PEMBULATAN]]*O19</f>
        <v>144837</v>
      </c>
    </row>
    <row r="20" spans="1:16" ht="26.25" customHeight="1" x14ac:dyDescent="0.2">
      <c r="A20" s="14"/>
      <c r="B20" s="110"/>
      <c r="C20" s="95" t="s">
        <v>461</v>
      </c>
      <c r="D20" s="96" t="s">
        <v>83</v>
      </c>
      <c r="E20" s="97">
        <v>44483</v>
      </c>
      <c r="F20" s="98" t="s">
        <v>84</v>
      </c>
      <c r="G20" s="97" t="s">
        <v>363</v>
      </c>
      <c r="H20" s="99" t="s">
        <v>364</v>
      </c>
      <c r="I20" s="100">
        <v>66</v>
      </c>
      <c r="J20" s="100">
        <v>57</v>
      </c>
      <c r="K20" s="100">
        <v>22</v>
      </c>
      <c r="L20" s="100">
        <v>14</v>
      </c>
      <c r="M20" s="101">
        <v>20.690999999999999</v>
      </c>
      <c r="N20" s="107">
        <v>20.690999999999999</v>
      </c>
      <c r="O20" s="64">
        <v>7000</v>
      </c>
      <c r="P20" s="65">
        <f>Table224578910112345678910111213141516171819202122[[#This Row],[PEMBULATAN]]*O20</f>
        <v>144837</v>
      </c>
    </row>
    <row r="21" spans="1:16" ht="26.25" customHeight="1" x14ac:dyDescent="0.2">
      <c r="A21" s="14"/>
      <c r="B21" s="14" t="s">
        <v>462</v>
      </c>
      <c r="C21" s="95" t="s">
        <v>463</v>
      </c>
      <c r="D21" s="96" t="s">
        <v>83</v>
      </c>
      <c r="E21" s="97">
        <v>44483</v>
      </c>
      <c r="F21" s="98" t="s">
        <v>84</v>
      </c>
      <c r="G21" s="97" t="s">
        <v>363</v>
      </c>
      <c r="H21" s="99" t="s">
        <v>364</v>
      </c>
      <c r="I21" s="100">
        <v>35</v>
      </c>
      <c r="J21" s="100">
        <v>35</v>
      </c>
      <c r="K21" s="100">
        <v>19</v>
      </c>
      <c r="L21" s="100">
        <v>12</v>
      </c>
      <c r="M21" s="101">
        <v>5.8187499999999996</v>
      </c>
      <c r="N21" s="107">
        <v>12</v>
      </c>
      <c r="O21" s="64">
        <v>7000</v>
      </c>
      <c r="P21" s="65">
        <f>Table224578910112345678910111213141516171819202122[[#This Row],[PEMBULATAN]]*O21</f>
        <v>84000</v>
      </c>
    </row>
    <row r="22" spans="1:16" ht="22.5" customHeight="1" x14ac:dyDescent="0.2">
      <c r="A22" s="143" t="s">
        <v>30</v>
      </c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5"/>
      <c r="M22" s="78">
        <f>SUBTOTAL(109,Table224578910112345678910111213141516171819202122[KG VOLUME])</f>
        <v>192.76599999999999</v>
      </c>
      <c r="N22" s="68">
        <f>SUM(N3:N21)</f>
        <v>244.2585</v>
      </c>
      <c r="O22" s="146">
        <f>SUM(P3:P21)</f>
        <v>1709809.5</v>
      </c>
      <c r="P22" s="147"/>
    </row>
    <row r="23" spans="1:16" ht="18" customHeight="1" x14ac:dyDescent="0.2">
      <c r="A23" s="85"/>
      <c r="B23" s="56" t="s">
        <v>42</v>
      </c>
      <c r="C23" s="55"/>
      <c r="D23" s="57" t="s">
        <v>43</v>
      </c>
      <c r="E23" s="85"/>
      <c r="F23" s="85"/>
      <c r="G23" s="85"/>
      <c r="H23" s="85"/>
      <c r="I23" s="85"/>
      <c r="J23" s="85"/>
      <c r="K23" s="85"/>
      <c r="L23" s="85"/>
      <c r="M23" s="86"/>
      <c r="N23" s="87" t="s">
        <v>52</v>
      </c>
      <c r="O23" s="88"/>
      <c r="P23" s="88">
        <v>0</v>
      </c>
    </row>
    <row r="24" spans="1:16" ht="18" customHeight="1" thickBot="1" x14ac:dyDescent="0.25">
      <c r="A24" s="85"/>
      <c r="B24" s="56"/>
      <c r="C24" s="55"/>
      <c r="D24" s="57"/>
      <c r="E24" s="85"/>
      <c r="F24" s="85"/>
      <c r="G24" s="85"/>
      <c r="H24" s="85"/>
      <c r="I24" s="85"/>
      <c r="J24" s="85"/>
      <c r="K24" s="85"/>
      <c r="L24" s="85"/>
      <c r="M24" s="86"/>
      <c r="N24" s="89" t="s">
        <v>53</v>
      </c>
      <c r="O24" s="90"/>
      <c r="P24" s="90">
        <f>O22-P23</f>
        <v>1709809.5</v>
      </c>
    </row>
    <row r="25" spans="1:16" ht="18" customHeight="1" x14ac:dyDescent="0.2">
      <c r="A25" s="11"/>
      <c r="H25" s="63"/>
      <c r="N25" s="62" t="s">
        <v>31</v>
      </c>
      <c r="P25" s="69">
        <f>P24*1%</f>
        <v>17098.095000000001</v>
      </c>
    </row>
    <row r="26" spans="1:16" ht="18" customHeight="1" thickBot="1" x14ac:dyDescent="0.25">
      <c r="A26" s="11"/>
      <c r="H26" s="63"/>
      <c r="N26" s="62" t="s">
        <v>54</v>
      </c>
      <c r="P26" s="71">
        <f>P24*2%</f>
        <v>34196.19</v>
      </c>
    </row>
    <row r="27" spans="1:16" ht="18" customHeight="1" x14ac:dyDescent="0.2">
      <c r="A27" s="11"/>
      <c r="H27" s="63"/>
      <c r="N27" s="66" t="s">
        <v>32</v>
      </c>
      <c r="O27" s="67"/>
      <c r="P27" s="70">
        <f>P24+P25-P26</f>
        <v>1692711.405</v>
      </c>
    </row>
    <row r="29" spans="1:16" x14ac:dyDescent="0.2">
      <c r="A29" s="11"/>
      <c r="H29" s="63"/>
      <c r="P29" s="71"/>
    </row>
    <row r="30" spans="1:16" x14ac:dyDescent="0.2">
      <c r="A30" s="11"/>
      <c r="H30" s="63"/>
      <c r="O30" s="58"/>
      <c r="P30" s="71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</sheetData>
  <mergeCells count="2">
    <mergeCell ref="A22:L22"/>
    <mergeCell ref="O22:P22"/>
  </mergeCells>
  <conditionalFormatting sqref="B3">
    <cfRule type="duplicateValues" dxfId="578" priority="2"/>
  </conditionalFormatting>
  <conditionalFormatting sqref="B4">
    <cfRule type="duplicateValues" dxfId="577" priority="1"/>
  </conditionalFormatting>
  <conditionalFormatting sqref="B5:B21">
    <cfRule type="duplicateValues" dxfId="576" priority="4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8"/>
  <sheetViews>
    <sheetView zoomScale="115" zoomScaleNormal="115" workbookViewId="0">
      <pane xSplit="3" ySplit="2" topLeftCell="D42" activePane="bottomRight" state="frozen"/>
      <selection pane="topRight" activeCell="B1" sqref="B1"/>
      <selection pane="bottomLeft" activeCell="A3" sqref="A3"/>
      <selection pane="bottomRight" activeCell="O49" sqref="O4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402232</v>
      </c>
      <c r="B3" s="73" t="s">
        <v>464</v>
      </c>
      <c r="C3" s="9" t="s">
        <v>465</v>
      </c>
      <c r="D3" s="75" t="s">
        <v>83</v>
      </c>
      <c r="E3" s="13">
        <v>44484</v>
      </c>
      <c r="F3" s="75" t="s">
        <v>84</v>
      </c>
      <c r="G3" s="13" t="s">
        <v>466</v>
      </c>
      <c r="H3" s="10" t="s">
        <v>467</v>
      </c>
      <c r="I3" s="1">
        <v>62</v>
      </c>
      <c r="J3" s="1">
        <v>36</v>
      </c>
      <c r="K3" s="1">
        <v>34</v>
      </c>
      <c r="L3" s="1">
        <v>12</v>
      </c>
      <c r="M3" s="79">
        <v>18.972000000000001</v>
      </c>
      <c r="N3" s="8">
        <v>19</v>
      </c>
      <c r="O3" s="64">
        <v>7000</v>
      </c>
      <c r="P3" s="65">
        <f>Table22457891011234567891011121314151617181920212223[[#This Row],[PEMBULATAN]]*O3</f>
        <v>133000</v>
      </c>
    </row>
    <row r="4" spans="1:16" ht="26.25" customHeight="1" x14ac:dyDescent="0.2">
      <c r="A4" s="14"/>
      <c r="B4" s="74"/>
      <c r="C4" s="9" t="s">
        <v>468</v>
      </c>
      <c r="D4" s="75" t="s">
        <v>83</v>
      </c>
      <c r="E4" s="13">
        <v>44484</v>
      </c>
      <c r="F4" s="75" t="s">
        <v>84</v>
      </c>
      <c r="G4" s="13" t="s">
        <v>466</v>
      </c>
      <c r="H4" s="10" t="s">
        <v>467</v>
      </c>
      <c r="I4" s="1">
        <v>52</v>
      </c>
      <c r="J4" s="1">
        <v>37</v>
      </c>
      <c r="K4" s="1">
        <v>24</v>
      </c>
      <c r="L4" s="1">
        <v>8</v>
      </c>
      <c r="M4" s="79">
        <v>11.544</v>
      </c>
      <c r="N4" s="8">
        <v>12</v>
      </c>
      <c r="O4" s="64">
        <v>7000</v>
      </c>
      <c r="P4" s="65">
        <f>Table22457891011234567891011121314151617181920212223[[#This Row],[PEMBULATAN]]*O4</f>
        <v>84000</v>
      </c>
    </row>
    <row r="5" spans="1:16" ht="26.25" customHeight="1" x14ac:dyDescent="0.2">
      <c r="A5" s="14"/>
      <c r="B5" s="14"/>
      <c r="C5" s="9" t="s">
        <v>469</v>
      </c>
      <c r="D5" s="75" t="s">
        <v>83</v>
      </c>
      <c r="E5" s="13">
        <v>44484</v>
      </c>
      <c r="F5" s="75" t="s">
        <v>84</v>
      </c>
      <c r="G5" s="13" t="s">
        <v>466</v>
      </c>
      <c r="H5" s="10" t="s">
        <v>467</v>
      </c>
      <c r="I5" s="1">
        <v>72</v>
      </c>
      <c r="J5" s="1">
        <v>48</v>
      </c>
      <c r="K5" s="1">
        <v>60</v>
      </c>
      <c r="L5" s="1">
        <v>23</v>
      </c>
      <c r="M5" s="79">
        <v>51.84</v>
      </c>
      <c r="N5" s="8">
        <v>52</v>
      </c>
      <c r="O5" s="64">
        <v>7000</v>
      </c>
      <c r="P5" s="65">
        <f>Table22457891011234567891011121314151617181920212223[[#This Row],[PEMBULATAN]]*O5</f>
        <v>364000</v>
      </c>
    </row>
    <row r="6" spans="1:16" ht="26.25" customHeight="1" x14ac:dyDescent="0.2">
      <c r="A6" s="14"/>
      <c r="B6" s="14"/>
      <c r="C6" s="95" t="s">
        <v>470</v>
      </c>
      <c r="D6" s="96" t="s">
        <v>83</v>
      </c>
      <c r="E6" s="97">
        <v>44484</v>
      </c>
      <c r="F6" s="98" t="s">
        <v>84</v>
      </c>
      <c r="G6" s="97" t="s">
        <v>466</v>
      </c>
      <c r="H6" s="99" t="s">
        <v>467</v>
      </c>
      <c r="I6" s="100">
        <v>44</v>
      </c>
      <c r="J6" s="100">
        <v>36</v>
      </c>
      <c r="K6" s="100">
        <v>82</v>
      </c>
      <c r="L6" s="100">
        <v>14</v>
      </c>
      <c r="M6" s="101">
        <v>32.472000000000001</v>
      </c>
      <c r="N6" s="102">
        <v>33</v>
      </c>
      <c r="O6" s="64">
        <v>7000</v>
      </c>
      <c r="P6" s="65">
        <f>Table22457891011234567891011121314151617181920212223[[#This Row],[PEMBULATAN]]*O6</f>
        <v>231000</v>
      </c>
    </row>
    <row r="7" spans="1:16" ht="26.25" customHeight="1" x14ac:dyDescent="0.2">
      <c r="A7" s="14"/>
      <c r="B7" s="14"/>
      <c r="C7" s="95" t="s">
        <v>471</v>
      </c>
      <c r="D7" s="96" t="s">
        <v>83</v>
      </c>
      <c r="E7" s="97">
        <v>44484</v>
      </c>
      <c r="F7" s="98" t="s">
        <v>84</v>
      </c>
      <c r="G7" s="97" t="s">
        <v>466</v>
      </c>
      <c r="H7" s="99" t="s">
        <v>467</v>
      </c>
      <c r="I7" s="100">
        <v>57</v>
      </c>
      <c r="J7" s="100">
        <v>42</v>
      </c>
      <c r="K7" s="100">
        <v>19</v>
      </c>
      <c r="L7" s="100">
        <v>9</v>
      </c>
      <c r="M7" s="101">
        <v>11.371499999999999</v>
      </c>
      <c r="N7" s="102">
        <v>12</v>
      </c>
      <c r="O7" s="64">
        <v>7000</v>
      </c>
      <c r="P7" s="65">
        <f>Table22457891011234567891011121314151617181920212223[[#This Row],[PEMBULATAN]]*O7</f>
        <v>84000</v>
      </c>
    </row>
    <row r="8" spans="1:16" ht="26.25" customHeight="1" x14ac:dyDescent="0.2">
      <c r="A8" s="14"/>
      <c r="B8" s="14"/>
      <c r="C8" s="95" t="s">
        <v>472</v>
      </c>
      <c r="D8" s="96" t="s">
        <v>83</v>
      </c>
      <c r="E8" s="97">
        <v>44484</v>
      </c>
      <c r="F8" s="98" t="s">
        <v>84</v>
      </c>
      <c r="G8" s="97" t="s">
        <v>466</v>
      </c>
      <c r="H8" s="99" t="s">
        <v>467</v>
      </c>
      <c r="I8" s="100">
        <v>36</v>
      </c>
      <c r="J8" s="100">
        <v>29</v>
      </c>
      <c r="K8" s="100">
        <v>35</v>
      </c>
      <c r="L8" s="100">
        <v>8</v>
      </c>
      <c r="M8" s="101">
        <v>9.1349999999999998</v>
      </c>
      <c r="N8" s="102">
        <v>9</v>
      </c>
      <c r="O8" s="64">
        <v>7000</v>
      </c>
      <c r="P8" s="65">
        <f>Table22457891011234567891011121314151617181920212223[[#This Row],[PEMBULATAN]]*O8</f>
        <v>63000</v>
      </c>
    </row>
    <row r="9" spans="1:16" ht="26.25" customHeight="1" x14ac:dyDescent="0.2">
      <c r="A9" s="14"/>
      <c r="B9" s="14"/>
      <c r="C9" s="95" t="s">
        <v>473</v>
      </c>
      <c r="D9" s="96" t="s">
        <v>83</v>
      </c>
      <c r="E9" s="97">
        <v>44484</v>
      </c>
      <c r="F9" s="98" t="s">
        <v>84</v>
      </c>
      <c r="G9" s="97" t="s">
        <v>466</v>
      </c>
      <c r="H9" s="99" t="s">
        <v>467</v>
      </c>
      <c r="I9" s="100">
        <v>64</v>
      </c>
      <c r="J9" s="100">
        <v>50</v>
      </c>
      <c r="K9" s="100">
        <v>24</v>
      </c>
      <c r="L9" s="100">
        <v>21</v>
      </c>
      <c r="M9" s="101">
        <v>19.2</v>
      </c>
      <c r="N9" s="102">
        <v>21</v>
      </c>
      <c r="O9" s="64">
        <v>7000</v>
      </c>
      <c r="P9" s="65">
        <f>Table22457891011234567891011121314151617181920212223[[#This Row],[PEMBULATAN]]*O9</f>
        <v>147000</v>
      </c>
    </row>
    <row r="10" spans="1:16" ht="26.25" customHeight="1" x14ac:dyDescent="0.2">
      <c r="A10" s="14"/>
      <c r="B10" s="14"/>
      <c r="C10" s="95" t="s">
        <v>474</v>
      </c>
      <c r="D10" s="96" t="s">
        <v>83</v>
      </c>
      <c r="E10" s="97">
        <v>44484</v>
      </c>
      <c r="F10" s="98" t="s">
        <v>84</v>
      </c>
      <c r="G10" s="97" t="s">
        <v>466</v>
      </c>
      <c r="H10" s="99" t="s">
        <v>467</v>
      </c>
      <c r="I10" s="100">
        <v>46</v>
      </c>
      <c r="J10" s="100">
        <v>33</v>
      </c>
      <c r="K10" s="100">
        <v>22</v>
      </c>
      <c r="L10" s="100">
        <v>10</v>
      </c>
      <c r="M10" s="101">
        <v>8.3490000000000002</v>
      </c>
      <c r="N10" s="102">
        <v>10</v>
      </c>
      <c r="O10" s="64">
        <v>7000</v>
      </c>
      <c r="P10" s="65">
        <f>Table22457891011234567891011121314151617181920212223[[#This Row],[PEMBULATAN]]*O10</f>
        <v>70000</v>
      </c>
    </row>
    <row r="11" spans="1:16" ht="26.25" customHeight="1" x14ac:dyDescent="0.2">
      <c r="A11" s="14"/>
      <c r="B11" s="14"/>
      <c r="C11" s="95" t="s">
        <v>475</v>
      </c>
      <c r="D11" s="96" t="s">
        <v>83</v>
      </c>
      <c r="E11" s="97">
        <v>44484</v>
      </c>
      <c r="F11" s="98" t="s">
        <v>84</v>
      </c>
      <c r="G11" s="97" t="s">
        <v>466</v>
      </c>
      <c r="H11" s="99" t="s">
        <v>467</v>
      </c>
      <c r="I11" s="100">
        <v>43</v>
      </c>
      <c r="J11" s="100">
        <v>30</v>
      </c>
      <c r="K11" s="100">
        <v>29</v>
      </c>
      <c r="L11" s="100">
        <v>14</v>
      </c>
      <c r="M11" s="101">
        <v>9.3524999999999991</v>
      </c>
      <c r="N11" s="102">
        <v>14</v>
      </c>
      <c r="O11" s="64">
        <v>7000</v>
      </c>
      <c r="P11" s="65">
        <f>Table22457891011234567891011121314151617181920212223[[#This Row],[PEMBULATAN]]*O11</f>
        <v>98000</v>
      </c>
    </row>
    <row r="12" spans="1:16" ht="26.25" customHeight="1" x14ac:dyDescent="0.2">
      <c r="A12" s="14"/>
      <c r="B12" s="14"/>
      <c r="C12" s="95" t="s">
        <v>476</v>
      </c>
      <c r="D12" s="96" t="s">
        <v>83</v>
      </c>
      <c r="E12" s="97">
        <v>44484</v>
      </c>
      <c r="F12" s="98" t="s">
        <v>84</v>
      </c>
      <c r="G12" s="97" t="s">
        <v>466</v>
      </c>
      <c r="H12" s="99" t="s">
        <v>467</v>
      </c>
      <c r="I12" s="100">
        <v>38</v>
      </c>
      <c r="J12" s="100">
        <v>35</v>
      </c>
      <c r="K12" s="100">
        <v>22</v>
      </c>
      <c r="L12" s="100">
        <v>5</v>
      </c>
      <c r="M12" s="101">
        <v>7.3150000000000004</v>
      </c>
      <c r="N12" s="102">
        <v>8</v>
      </c>
      <c r="O12" s="64">
        <v>7000</v>
      </c>
      <c r="P12" s="65">
        <f>Table22457891011234567891011121314151617181920212223[[#This Row],[PEMBULATAN]]*O12</f>
        <v>56000</v>
      </c>
    </row>
    <row r="13" spans="1:16" ht="26.25" customHeight="1" x14ac:dyDescent="0.2">
      <c r="A13" s="14"/>
      <c r="B13" s="14"/>
      <c r="C13" s="95" t="s">
        <v>477</v>
      </c>
      <c r="D13" s="96" t="s">
        <v>83</v>
      </c>
      <c r="E13" s="97">
        <v>44484</v>
      </c>
      <c r="F13" s="98" t="s">
        <v>84</v>
      </c>
      <c r="G13" s="97" t="s">
        <v>466</v>
      </c>
      <c r="H13" s="99" t="s">
        <v>467</v>
      </c>
      <c r="I13" s="100">
        <v>34</v>
      </c>
      <c r="J13" s="100">
        <v>30</v>
      </c>
      <c r="K13" s="100">
        <v>35</v>
      </c>
      <c r="L13" s="100">
        <v>7</v>
      </c>
      <c r="M13" s="101">
        <v>8.9250000000000007</v>
      </c>
      <c r="N13" s="102">
        <v>9</v>
      </c>
      <c r="O13" s="64">
        <v>7000</v>
      </c>
      <c r="P13" s="65">
        <f>Table22457891011234567891011121314151617181920212223[[#This Row],[PEMBULATAN]]*O13</f>
        <v>63000</v>
      </c>
    </row>
    <row r="14" spans="1:16" ht="26.25" customHeight="1" x14ac:dyDescent="0.2">
      <c r="A14" s="14"/>
      <c r="B14" s="14"/>
      <c r="C14" s="95" t="s">
        <v>478</v>
      </c>
      <c r="D14" s="96" t="s">
        <v>83</v>
      </c>
      <c r="E14" s="97">
        <v>44484</v>
      </c>
      <c r="F14" s="98" t="s">
        <v>84</v>
      </c>
      <c r="G14" s="97" t="s">
        <v>466</v>
      </c>
      <c r="H14" s="99" t="s">
        <v>467</v>
      </c>
      <c r="I14" s="100">
        <v>54</v>
      </c>
      <c r="J14" s="100">
        <v>35</v>
      </c>
      <c r="K14" s="100">
        <v>55</v>
      </c>
      <c r="L14" s="100">
        <v>27</v>
      </c>
      <c r="M14" s="101">
        <v>25.987500000000001</v>
      </c>
      <c r="N14" s="102">
        <v>27</v>
      </c>
      <c r="O14" s="64">
        <v>7000</v>
      </c>
      <c r="P14" s="65">
        <f>Table22457891011234567891011121314151617181920212223[[#This Row],[PEMBULATAN]]*O14</f>
        <v>189000</v>
      </c>
    </row>
    <row r="15" spans="1:16" ht="26.25" customHeight="1" x14ac:dyDescent="0.2">
      <c r="A15" s="14"/>
      <c r="B15" s="14"/>
      <c r="C15" s="95" t="s">
        <v>479</v>
      </c>
      <c r="D15" s="96" t="s">
        <v>83</v>
      </c>
      <c r="E15" s="97">
        <v>44484</v>
      </c>
      <c r="F15" s="98" t="s">
        <v>84</v>
      </c>
      <c r="G15" s="97" t="s">
        <v>466</v>
      </c>
      <c r="H15" s="99" t="s">
        <v>467</v>
      </c>
      <c r="I15" s="100">
        <v>73</v>
      </c>
      <c r="J15" s="100">
        <v>44</v>
      </c>
      <c r="K15" s="100">
        <v>38</v>
      </c>
      <c r="L15" s="100">
        <v>10</v>
      </c>
      <c r="M15" s="101">
        <v>30.513999999999999</v>
      </c>
      <c r="N15" s="102">
        <v>31</v>
      </c>
      <c r="O15" s="64">
        <v>7000</v>
      </c>
      <c r="P15" s="65">
        <f>Table22457891011234567891011121314151617181920212223[[#This Row],[PEMBULATAN]]*O15</f>
        <v>217000</v>
      </c>
    </row>
    <row r="16" spans="1:16" ht="26.25" customHeight="1" x14ac:dyDescent="0.2">
      <c r="A16" s="14"/>
      <c r="B16" s="14"/>
      <c r="C16" s="95" t="s">
        <v>480</v>
      </c>
      <c r="D16" s="96" t="s">
        <v>83</v>
      </c>
      <c r="E16" s="97">
        <v>44484</v>
      </c>
      <c r="F16" s="98" t="s">
        <v>84</v>
      </c>
      <c r="G16" s="97" t="s">
        <v>466</v>
      </c>
      <c r="H16" s="99" t="s">
        <v>467</v>
      </c>
      <c r="I16" s="100">
        <v>84</v>
      </c>
      <c r="J16" s="100">
        <v>52</v>
      </c>
      <c r="K16" s="100">
        <v>68</v>
      </c>
      <c r="L16" s="100">
        <v>40</v>
      </c>
      <c r="M16" s="101">
        <v>74.256</v>
      </c>
      <c r="N16" s="102">
        <v>74</v>
      </c>
      <c r="O16" s="64">
        <v>7000</v>
      </c>
      <c r="P16" s="65">
        <f>Table22457891011234567891011121314151617181920212223[[#This Row],[PEMBULATAN]]*O16</f>
        <v>518000</v>
      </c>
    </row>
    <row r="17" spans="1:16" ht="26.25" customHeight="1" x14ac:dyDescent="0.2">
      <c r="A17" s="14"/>
      <c r="B17" s="14"/>
      <c r="C17" s="95" t="s">
        <v>481</v>
      </c>
      <c r="D17" s="96" t="s">
        <v>83</v>
      </c>
      <c r="E17" s="97">
        <v>44484</v>
      </c>
      <c r="F17" s="98" t="s">
        <v>84</v>
      </c>
      <c r="G17" s="97" t="s">
        <v>466</v>
      </c>
      <c r="H17" s="99" t="s">
        <v>467</v>
      </c>
      <c r="I17" s="100">
        <v>99</v>
      </c>
      <c r="J17" s="100">
        <v>58</v>
      </c>
      <c r="K17" s="100">
        <v>8</v>
      </c>
      <c r="L17" s="100">
        <v>6</v>
      </c>
      <c r="M17" s="101">
        <v>11.484</v>
      </c>
      <c r="N17" s="102">
        <v>12</v>
      </c>
      <c r="O17" s="64">
        <v>7000</v>
      </c>
      <c r="P17" s="65">
        <f>Table22457891011234567891011121314151617181920212223[[#This Row],[PEMBULATAN]]*O17</f>
        <v>84000</v>
      </c>
    </row>
    <row r="18" spans="1:16" ht="26.25" customHeight="1" x14ac:dyDescent="0.2">
      <c r="A18" s="14"/>
      <c r="B18" s="14"/>
      <c r="C18" s="95" t="s">
        <v>482</v>
      </c>
      <c r="D18" s="96" t="s">
        <v>83</v>
      </c>
      <c r="E18" s="97">
        <v>44484</v>
      </c>
      <c r="F18" s="98" t="s">
        <v>84</v>
      </c>
      <c r="G18" s="97" t="s">
        <v>466</v>
      </c>
      <c r="H18" s="99" t="s">
        <v>467</v>
      </c>
      <c r="I18" s="100">
        <v>22</v>
      </c>
      <c r="J18" s="100">
        <v>24</v>
      </c>
      <c r="K18" s="100">
        <v>17</v>
      </c>
      <c r="L18" s="100">
        <v>8</v>
      </c>
      <c r="M18" s="101">
        <v>2.2440000000000002</v>
      </c>
      <c r="N18" s="102">
        <v>8</v>
      </c>
      <c r="O18" s="64">
        <v>7000</v>
      </c>
      <c r="P18" s="65">
        <f>Table22457891011234567891011121314151617181920212223[[#This Row],[PEMBULATAN]]*O18</f>
        <v>56000</v>
      </c>
    </row>
    <row r="19" spans="1:16" ht="26.25" customHeight="1" x14ac:dyDescent="0.2">
      <c r="A19" s="14"/>
      <c r="B19" s="14"/>
      <c r="C19" s="95" t="s">
        <v>483</v>
      </c>
      <c r="D19" s="96" t="s">
        <v>83</v>
      </c>
      <c r="E19" s="97">
        <v>44484</v>
      </c>
      <c r="F19" s="98" t="s">
        <v>84</v>
      </c>
      <c r="G19" s="97" t="s">
        <v>466</v>
      </c>
      <c r="H19" s="99" t="s">
        <v>467</v>
      </c>
      <c r="I19" s="100">
        <v>46</v>
      </c>
      <c r="J19" s="100">
        <v>32</v>
      </c>
      <c r="K19" s="100">
        <v>22</v>
      </c>
      <c r="L19" s="100">
        <v>6</v>
      </c>
      <c r="M19" s="101">
        <v>8.0960000000000001</v>
      </c>
      <c r="N19" s="102">
        <v>8</v>
      </c>
      <c r="O19" s="64">
        <v>7000</v>
      </c>
      <c r="P19" s="65">
        <f>Table22457891011234567891011121314151617181920212223[[#This Row],[PEMBULATAN]]*O19</f>
        <v>56000</v>
      </c>
    </row>
    <row r="20" spans="1:16" ht="26.25" customHeight="1" x14ac:dyDescent="0.2">
      <c r="A20" s="14"/>
      <c r="B20" s="14"/>
      <c r="C20" s="95" t="s">
        <v>484</v>
      </c>
      <c r="D20" s="96" t="s">
        <v>83</v>
      </c>
      <c r="E20" s="97">
        <v>44484</v>
      </c>
      <c r="F20" s="98" t="s">
        <v>84</v>
      </c>
      <c r="G20" s="97" t="s">
        <v>466</v>
      </c>
      <c r="H20" s="99" t="s">
        <v>467</v>
      </c>
      <c r="I20" s="100">
        <v>37</v>
      </c>
      <c r="J20" s="100">
        <v>39</v>
      </c>
      <c r="K20" s="100">
        <v>20</v>
      </c>
      <c r="L20" s="100">
        <v>6</v>
      </c>
      <c r="M20" s="101">
        <v>7.2149999999999999</v>
      </c>
      <c r="N20" s="102">
        <v>7</v>
      </c>
      <c r="O20" s="64">
        <v>7000</v>
      </c>
      <c r="P20" s="65">
        <f>Table22457891011234567891011121314151617181920212223[[#This Row],[PEMBULATAN]]*O20</f>
        <v>49000</v>
      </c>
    </row>
    <row r="21" spans="1:16" ht="26.25" customHeight="1" x14ac:dyDescent="0.2">
      <c r="A21" s="14"/>
      <c r="B21" s="14"/>
      <c r="C21" s="95" t="s">
        <v>485</v>
      </c>
      <c r="D21" s="96" t="s">
        <v>83</v>
      </c>
      <c r="E21" s="97">
        <v>44484</v>
      </c>
      <c r="F21" s="98" t="s">
        <v>84</v>
      </c>
      <c r="G21" s="97" t="s">
        <v>466</v>
      </c>
      <c r="H21" s="99" t="s">
        <v>467</v>
      </c>
      <c r="I21" s="100">
        <v>33</v>
      </c>
      <c r="J21" s="100">
        <v>29</v>
      </c>
      <c r="K21" s="100">
        <v>38</v>
      </c>
      <c r="L21" s="100">
        <v>8</v>
      </c>
      <c r="M21" s="101">
        <v>9.0914999999999999</v>
      </c>
      <c r="N21" s="102">
        <v>9</v>
      </c>
      <c r="O21" s="64">
        <v>7000</v>
      </c>
      <c r="P21" s="65">
        <f>Table22457891011234567891011121314151617181920212223[[#This Row],[PEMBULATAN]]*O21</f>
        <v>63000</v>
      </c>
    </row>
    <row r="22" spans="1:16" ht="26.25" customHeight="1" x14ac:dyDescent="0.2">
      <c r="A22" s="14"/>
      <c r="B22" s="14"/>
      <c r="C22" s="95" t="s">
        <v>486</v>
      </c>
      <c r="D22" s="96" t="s">
        <v>83</v>
      </c>
      <c r="E22" s="97">
        <v>44484</v>
      </c>
      <c r="F22" s="98" t="s">
        <v>84</v>
      </c>
      <c r="G22" s="97" t="s">
        <v>466</v>
      </c>
      <c r="H22" s="99" t="s">
        <v>467</v>
      </c>
      <c r="I22" s="100">
        <v>80</v>
      </c>
      <c r="J22" s="100">
        <v>34</v>
      </c>
      <c r="K22" s="100">
        <v>60</v>
      </c>
      <c r="L22" s="100">
        <v>24</v>
      </c>
      <c r="M22" s="101">
        <v>40.799999999999997</v>
      </c>
      <c r="N22" s="102">
        <v>41</v>
      </c>
      <c r="O22" s="64">
        <v>7000</v>
      </c>
      <c r="P22" s="65">
        <f>Table22457891011234567891011121314151617181920212223[[#This Row],[PEMBULATAN]]*O22</f>
        <v>287000</v>
      </c>
    </row>
    <row r="23" spans="1:16" ht="26.25" customHeight="1" x14ac:dyDescent="0.2">
      <c r="A23" s="14"/>
      <c r="B23" s="14"/>
      <c r="C23" s="95" t="s">
        <v>487</v>
      </c>
      <c r="D23" s="96" t="s">
        <v>83</v>
      </c>
      <c r="E23" s="97">
        <v>44484</v>
      </c>
      <c r="F23" s="98" t="s">
        <v>84</v>
      </c>
      <c r="G23" s="97" t="s">
        <v>466</v>
      </c>
      <c r="H23" s="99" t="s">
        <v>467</v>
      </c>
      <c r="I23" s="100">
        <v>68</v>
      </c>
      <c r="J23" s="100">
        <v>39</v>
      </c>
      <c r="K23" s="100">
        <v>86</v>
      </c>
      <c r="L23" s="100">
        <v>25</v>
      </c>
      <c r="M23" s="101">
        <v>57.018000000000001</v>
      </c>
      <c r="N23" s="102">
        <v>57</v>
      </c>
      <c r="O23" s="64">
        <v>7000</v>
      </c>
      <c r="P23" s="65">
        <f>Table22457891011234567891011121314151617181920212223[[#This Row],[PEMBULATAN]]*O23</f>
        <v>399000</v>
      </c>
    </row>
    <row r="24" spans="1:16" ht="26.25" customHeight="1" x14ac:dyDescent="0.2">
      <c r="A24" s="14"/>
      <c r="B24" s="14"/>
      <c r="C24" s="95" t="s">
        <v>488</v>
      </c>
      <c r="D24" s="96" t="s">
        <v>83</v>
      </c>
      <c r="E24" s="97">
        <v>44484</v>
      </c>
      <c r="F24" s="98" t="s">
        <v>84</v>
      </c>
      <c r="G24" s="97" t="s">
        <v>466</v>
      </c>
      <c r="H24" s="99" t="s">
        <v>467</v>
      </c>
      <c r="I24" s="100">
        <v>32</v>
      </c>
      <c r="J24" s="100">
        <v>25</v>
      </c>
      <c r="K24" s="100">
        <v>12</v>
      </c>
      <c r="L24" s="100">
        <v>4</v>
      </c>
      <c r="M24" s="101">
        <v>2.4</v>
      </c>
      <c r="N24" s="102">
        <v>4</v>
      </c>
      <c r="O24" s="64">
        <v>7000</v>
      </c>
      <c r="P24" s="65">
        <f>Table22457891011234567891011121314151617181920212223[[#This Row],[PEMBULATAN]]*O24</f>
        <v>28000</v>
      </c>
    </row>
    <row r="25" spans="1:16" ht="26.25" customHeight="1" x14ac:dyDescent="0.2">
      <c r="A25" s="14"/>
      <c r="B25" s="110"/>
      <c r="C25" s="95" t="s">
        <v>489</v>
      </c>
      <c r="D25" s="96" t="s">
        <v>83</v>
      </c>
      <c r="E25" s="97">
        <v>44484</v>
      </c>
      <c r="F25" s="98" t="s">
        <v>84</v>
      </c>
      <c r="G25" s="97" t="s">
        <v>466</v>
      </c>
      <c r="H25" s="99" t="s">
        <v>467</v>
      </c>
      <c r="I25" s="100">
        <v>19</v>
      </c>
      <c r="J25" s="100">
        <v>23</v>
      </c>
      <c r="K25" s="100">
        <v>27</v>
      </c>
      <c r="L25" s="100">
        <v>6</v>
      </c>
      <c r="M25" s="101">
        <v>2.9497499999999999</v>
      </c>
      <c r="N25" s="102">
        <v>6</v>
      </c>
      <c r="O25" s="64">
        <v>7000</v>
      </c>
      <c r="P25" s="65">
        <f>Table22457891011234567891011121314151617181920212223[[#This Row],[PEMBULATAN]]*O25</f>
        <v>42000</v>
      </c>
    </row>
    <row r="26" spans="1:16" ht="26.25" customHeight="1" x14ac:dyDescent="0.2">
      <c r="A26" s="14"/>
      <c r="B26" s="14" t="s">
        <v>490</v>
      </c>
      <c r="C26" s="95" t="s">
        <v>491</v>
      </c>
      <c r="D26" s="96" t="s">
        <v>83</v>
      </c>
      <c r="E26" s="97">
        <v>44484</v>
      </c>
      <c r="F26" s="98" t="s">
        <v>84</v>
      </c>
      <c r="G26" s="97" t="s">
        <v>466</v>
      </c>
      <c r="H26" s="99" t="s">
        <v>467</v>
      </c>
      <c r="I26" s="100">
        <v>42</v>
      </c>
      <c r="J26" s="100">
        <v>28</v>
      </c>
      <c r="K26" s="100">
        <v>31</v>
      </c>
      <c r="L26" s="100">
        <v>6</v>
      </c>
      <c r="M26" s="101">
        <v>9.1140000000000008</v>
      </c>
      <c r="N26" s="102">
        <v>9</v>
      </c>
      <c r="O26" s="64">
        <v>7000</v>
      </c>
      <c r="P26" s="65">
        <f>Table22457891011234567891011121314151617181920212223[[#This Row],[PEMBULATAN]]*O26</f>
        <v>63000</v>
      </c>
    </row>
    <row r="27" spans="1:16" ht="26.25" customHeight="1" x14ac:dyDescent="0.2">
      <c r="A27" s="14"/>
      <c r="B27" s="110"/>
      <c r="C27" s="95" t="s">
        <v>492</v>
      </c>
      <c r="D27" s="96" t="s">
        <v>83</v>
      </c>
      <c r="E27" s="97">
        <v>44484</v>
      </c>
      <c r="F27" s="98" t="s">
        <v>84</v>
      </c>
      <c r="G27" s="97" t="s">
        <v>466</v>
      </c>
      <c r="H27" s="99" t="s">
        <v>467</v>
      </c>
      <c r="I27" s="100">
        <v>33</v>
      </c>
      <c r="J27" s="100">
        <v>22</v>
      </c>
      <c r="K27" s="100">
        <v>24</v>
      </c>
      <c r="L27" s="100">
        <v>14</v>
      </c>
      <c r="M27" s="101">
        <v>4.3559999999999999</v>
      </c>
      <c r="N27" s="102">
        <v>14</v>
      </c>
      <c r="O27" s="64">
        <v>7000</v>
      </c>
      <c r="P27" s="65">
        <f>Table22457891011234567891011121314151617181920212223[[#This Row],[PEMBULATAN]]*O27</f>
        <v>98000</v>
      </c>
    </row>
    <row r="28" spans="1:16" ht="26.25" customHeight="1" x14ac:dyDescent="0.2">
      <c r="A28" s="14"/>
      <c r="B28" s="14" t="s">
        <v>493</v>
      </c>
      <c r="C28" s="95" t="s">
        <v>494</v>
      </c>
      <c r="D28" s="96" t="s">
        <v>83</v>
      </c>
      <c r="E28" s="97">
        <v>44484</v>
      </c>
      <c r="F28" s="98" t="s">
        <v>84</v>
      </c>
      <c r="G28" s="97" t="s">
        <v>466</v>
      </c>
      <c r="H28" s="99" t="s">
        <v>467</v>
      </c>
      <c r="I28" s="100">
        <v>32</v>
      </c>
      <c r="J28" s="100">
        <v>22</v>
      </c>
      <c r="K28" s="100">
        <v>18</v>
      </c>
      <c r="L28" s="100">
        <v>7</v>
      </c>
      <c r="M28" s="101">
        <v>3.1680000000000001</v>
      </c>
      <c r="N28" s="102">
        <v>7</v>
      </c>
      <c r="O28" s="64">
        <v>7000</v>
      </c>
      <c r="P28" s="65">
        <f>Table22457891011234567891011121314151617181920212223[[#This Row],[PEMBULATAN]]*O28</f>
        <v>49000</v>
      </c>
    </row>
    <row r="29" spans="1:16" ht="26.25" customHeight="1" x14ac:dyDescent="0.2">
      <c r="A29" s="14"/>
      <c r="B29" s="14"/>
      <c r="C29" s="95" t="s">
        <v>495</v>
      </c>
      <c r="D29" s="96" t="s">
        <v>83</v>
      </c>
      <c r="E29" s="97">
        <v>44484</v>
      </c>
      <c r="F29" s="98" t="s">
        <v>84</v>
      </c>
      <c r="G29" s="97" t="s">
        <v>466</v>
      </c>
      <c r="H29" s="99" t="s">
        <v>467</v>
      </c>
      <c r="I29" s="100">
        <v>32</v>
      </c>
      <c r="J29" s="100">
        <v>22</v>
      </c>
      <c r="K29" s="100">
        <v>18</v>
      </c>
      <c r="L29" s="100">
        <v>7</v>
      </c>
      <c r="M29" s="101">
        <v>3.1680000000000001</v>
      </c>
      <c r="N29" s="102">
        <v>7</v>
      </c>
      <c r="O29" s="64">
        <v>7000</v>
      </c>
      <c r="P29" s="65">
        <f>Table22457891011234567891011121314151617181920212223[[#This Row],[PEMBULATAN]]*O29</f>
        <v>49000</v>
      </c>
    </row>
    <row r="30" spans="1:16" ht="26.25" customHeight="1" x14ac:dyDescent="0.2">
      <c r="A30" s="14"/>
      <c r="B30" s="14"/>
      <c r="C30" s="95" t="s">
        <v>496</v>
      </c>
      <c r="D30" s="96" t="s">
        <v>83</v>
      </c>
      <c r="E30" s="97">
        <v>44484</v>
      </c>
      <c r="F30" s="98" t="s">
        <v>84</v>
      </c>
      <c r="G30" s="97" t="s">
        <v>466</v>
      </c>
      <c r="H30" s="99" t="s">
        <v>467</v>
      </c>
      <c r="I30" s="100">
        <v>32</v>
      </c>
      <c r="J30" s="100">
        <v>22</v>
      </c>
      <c r="K30" s="100">
        <v>18</v>
      </c>
      <c r="L30" s="100">
        <v>7</v>
      </c>
      <c r="M30" s="101">
        <v>3.1680000000000001</v>
      </c>
      <c r="N30" s="102">
        <v>7</v>
      </c>
      <c r="O30" s="64">
        <v>7000</v>
      </c>
      <c r="P30" s="65">
        <f>Table22457891011234567891011121314151617181920212223[[#This Row],[PEMBULATAN]]*O30</f>
        <v>49000</v>
      </c>
    </row>
    <row r="31" spans="1:16" ht="26.25" customHeight="1" x14ac:dyDescent="0.2">
      <c r="A31" s="14"/>
      <c r="B31" s="14"/>
      <c r="C31" s="95" t="s">
        <v>497</v>
      </c>
      <c r="D31" s="96" t="s">
        <v>83</v>
      </c>
      <c r="E31" s="97">
        <v>44484</v>
      </c>
      <c r="F31" s="98" t="s">
        <v>84</v>
      </c>
      <c r="G31" s="97" t="s">
        <v>466</v>
      </c>
      <c r="H31" s="99" t="s">
        <v>467</v>
      </c>
      <c r="I31" s="100">
        <v>32</v>
      </c>
      <c r="J31" s="100">
        <v>22</v>
      </c>
      <c r="K31" s="100">
        <v>18</v>
      </c>
      <c r="L31" s="100">
        <v>7</v>
      </c>
      <c r="M31" s="101">
        <v>3.1680000000000001</v>
      </c>
      <c r="N31" s="102">
        <v>7</v>
      </c>
      <c r="O31" s="64">
        <v>7000</v>
      </c>
      <c r="P31" s="65">
        <f>Table22457891011234567891011121314151617181920212223[[#This Row],[PEMBULATAN]]*O31</f>
        <v>49000</v>
      </c>
    </row>
    <row r="32" spans="1:16" ht="26.25" customHeight="1" x14ac:dyDescent="0.2">
      <c r="A32" s="14"/>
      <c r="B32" s="14"/>
      <c r="C32" s="95" t="s">
        <v>498</v>
      </c>
      <c r="D32" s="96" t="s">
        <v>83</v>
      </c>
      <c r="E32" s="97">
        <v>44484</v>
      </c>
      <c r="F32" s="98" t="s">
        <v>84</v>
      </c>
      <c r="G32" s="97" t="s">
        <v>466</v>
      </c>
      <c r="H32" s="99" t="s">
        <v>467</v>
      </c>
      <c r="I32" s="100">
        <v>32</v>
      </c>
      <c r="J32" s="100">
        <v>22</v>
      </c>
      <c r="K32" s="100">
        <v>18</v>
      </c>
      <c r="L32" s="100">
        <v>7</v>
      </c>
      <c r="M32" s="101">
        <v>3.1680000000000001</v>
      </c>
      <c r="N32" s="102">
        <v>7</v>
      </c>
      <c r="O32" s="64">
        <v>7000</v>
      </c>
      <c r="P32" s="65">
        <f>Table22457891011234567891011121314151617181920212223[[#This Row],[PEMBULATAN]]*O32</f>
        <v>49000</v>
      </c>
    </row>
    <row r="33" spans="1:16" ht="26.25" customHeight="1" x14ac:dyDescent="0.2">
      <c r="A33" s="14"/>
      <c r="B33" s="14"/>
      <c r="C33" s="95" t="s">
        <v>499</v>
      </c>
      <c r="D33" s="96" t="s">
        <v>83</v>
      </c>
      <c r="E33" s="97">
        <v>44484</v>
      </c>
      <c r="F33" s="98" t="s">
        <v>84</v>
      </c>
      <c r="G33" s="97" t="s">
        <v>466</v>
      </c>
      <c r="H33" s="99" t="s">
        <v>467</v>
      </c>
      <c r="I33" s="100">
        <v>43</v>
      </c>
      <c r="J33" s="100">
        <v>34</v>
      </c>
      <c r="K33" s="100">
        <v>29</v>
      </c>
      <c r="L33" s="100">
        <v>9</v>
      </c>
      <c r="M33" s="101">
        <v>10.599500000000001</v>
      </c>
      <c r="N33" s="102">
        <v>11</v>
      </c>
      <c r="O33" s="64">
        <v>7000</v>
      </c>
      <c r="P33" s="65">
        <f>Table22457891011234567891011121314151617181920212223[[#This Row],[PEMBULATAN]]*O33</f>
        <v>77000</v>
      </c>
    </row>
    <row r="34" spans="1:16" ht="26.25" customHeight="1" x14ac:dyDescent="0.2">
      <c r="A34" s="14"/>
      <c r="B34" s="14"/>
      <c r="C34" s="95" t="s">
        <v>500</v>
      </c>
      <c r="D34" s="96" t="s">
        <v>83</v>
      </c>
      <c r="E34" s="97">
        <v>44484</v>
      </c>
      <c r="F34" s="98" t="s">
        <v>84</v>
      </c>
      <c r="G34" s="97" t="s">
        <v>466</v>
      </c>
      <c r="H34" s="99" t="s">
        <v>467</v>
      </c>
      <c r="I34" s="100">
        <v>43</v>
      </c>
      <c r="J34" s="100">
        <v>34</v>
      </c>
      <c r="K34" s="100">
        <v>29</v>
      </c>
      <c r="L34" s="100">
        <v>9</v>
      </c>
      <c r="M34" s="101">
        <v>10.599500000000001</v>
      </c>
      <c r="N34" s="102">
        <v>11</v>
      </c>
      <c r="O34" s="64">
        <v>7000</v>
      </c>
      <c r="P34" s="65">
        <f>Table22457891011234567891011121314151617181920212223[[#This Row],[PEMBULATAN]]*O34</f>
        <v>77000</v>
      </c>
    </row>
    <row r="35" spans="1:16" ht="26.25" customHeight="1" x14ac:dyDescent="0.2">
      <c r="A35" s="14"/>
      <c r="B35" s="14"/>
      <c r="C35" s="95" t="s">
        <v>501</v>
      </c>
      <c r="D35" s="96" t="s">
        <v>83</v>
      </c>
      <c r="E35" s="97">
        <v>44484</v>
      </c>
      <c r="F35" s="98" t="s">
        <v>84</v>
      </c>
      <c r="G35" s="97" t="s">
        <v>466</v>
      </c>
      <c r="H35" s="99" t="s">
        <v>467</v>
      </c>
      <c r="I35" s="100">
        <v>43</v>
      </c>
      <c r="J35" s="100">
        <v>34</v>
      </c>
      <c r="K35" s="100">
        <v>29</v>
      </c>
      <c r="L35" s="100">
        <v>9</v>
      </c>
      <c r="M35" s="101">
        <v>10.599500000000001</v>
      </c>
      <c r="N35" s="102">
        <v>11</v>
      </c>
      <c r="O35" s="64">
        <v>7000</v>
      </c>
      <c r="P35" s="65">
        <f>Table22457891011234567891011121314151617181920212223[[#This Row],[PEMBULATAN]]*O35</f>
        <v>77000</v>
      </c>
    </row>
    <row r="36" spans="1:16" ht="26.25" customHeight="1" x14ac:dyDescent="0.2">
      <c r="A36" s="14"/>
      <c r="B36" s="14"/>
      <c r="C36" s="95" t="s">
        <v>502</v>
      </c>
      <c r="D36" s="96" t="s">
        <v>83</v>
      </c>
      <c r="E36" s="97">
        <v>44484</v>
      </c>
      <c r="F36" s="98" t="s">
        <v>84</v>
      </c>
      <c r="G36" s="97" t="s">
        <v>466</v>
      </c>
      <c r="H36" s="99" t="s">
        <v>467</v>
      </c>
      <c r="I36" s="100">
        <v>43</v>
      </c>
      <c r="J36" s="100">
        <v>34</v>
      </c>
      <c r="K36" s="100">
        <v>29</v>
      </c>
      <c r="L36" s="100">
        <v>9</v>
      </c>
      <c r="M36" s="101">
        <v>10.599500000000001</v>
      </c>
      <c r="N36" s="102">
        <v>11</v>
      </c>
      <c r="O36" s="64">
        <v>7000</v>
      </c>
      <c r="P36" s="65">
        <f>Table22457891011234567891011121314151617181920212223[[#This Row],[PEMBULATAN]]*O36</f>
        <v>77000</v>
      </c>
    </row>
    <row r="37" spans="1:16" ht="26.25" customHeight="1" x14ac:dyDescent="0.2">
      <c r="A37" s="14"/>
      <c r="B37" s="14"/>
      <c r="C37" s="95" t="s">
        <v>503</v>
      </c>
      <c r="D37" s="96" t="s">
        <v>83</v>
      </c>
      <c r="E37" s="97">
        <v>44484</v>
      </c>
      <c r="F37" s="98" t="s">
        <v>84</v>
      </c>
      <c r="G37" s="97" t="s">
        <v>466</v>
      </c>
      <c r="H37" s="99" t="s">
        <v>467</v>
      </c>
      <c r="I37" s="100">
        <v>43</v>
      </c>
      <c r="J37" s="100">
        <v>34</v>
      </c>
      <c r="K37" s="100">
        <v>29</v>
      </c>
      <c r="L37" s="100">
        <v>9</v>
      </c>
      <c r="M37" s="101">
        <v>10.599500000000001</v>
      </c>
      <c r="N37" s="102">
        <v>11</v>
      </c>
      <c r="O37" s="64">
        <v>7000</v>
      </c>
      <c r="P37" s="65">
        <f>Table22457891011234567891011121314151617181920212223[[#This Row],[PEMBULATAN]]*O37</f>
        <v>77000</v>
      </c>
    </row>
    <row r="38" spans="1:16" ht="26.25" customHeight="1" x14ac:dyDescent="0.2">
      <c r="A38" s="14"/>
      <c r="B38" s="14"/>
      <c r="C38" s="95" t="s">
        <v>504</v>
      </c>
      <c r="D38" s="96" t="s">
        <v>83</v>
      </c>
      <c r="E38" s="97">
        <v>44484</v>
      </c>
      <c r="F38" s="98" t="s">
        <v>84</v>
      </c>
      <c r="G38" s="97" t="s">
        <v>466</v>
      </c>
      <c r="H38" s="99" t="s">
        <v>467</v>
      </c>
      <c r="I38" s="100">
        <v>35</v>
      </c>
      <c r="J38" s="100">
        <v>35</v>
      </c>
      <c r="K38" s="100">
        <v>15</v>
      </c>
      <c r="L38" s="100">
        <v>12</v>
      </c>
      <c r="M38" s="101">
        <v>4.59375</v>
      </c>
      <c r="N38" s="102">
        <v>12</v>
      </c>
      <c r="O38" s="64">
        <v>7000</v>
      </c>
      <c r="P38" s="65">
        <f>Table22457891011234567891011121314151617181920212223[[#This Row],[PEMBULATAN]]*O38</f>
        <v>84000</v>
      </c>
    </row>
    <row r="39" spans="1:16" ht="26.25" customHeight="1" x14ac:dyDescent="0.2">
      <c r="A39" s="14"/>
      <c r="B39" s="14"/>
      <c r="C39" s="95" t="s">
        <v>505</v>
      </c>
      <c r="D39" s="96" t="s">
        <v>83</v>
      </c>
      <c r="E39" s="97">
        <v>44484</v>
      </c>
      <c r="F39" s="98" t="s">
        <v>84</v>
      </c>
      <c r="G39" s="97" t="s">
        <v>466</v>
      </c>
      <c r="H39" s="99" t="s">
        <v>467</v>
      </c>
      <c r="I39" s="100">
        <v>35</v>
      </c>
      <c r="J39" s="100">
        <v>35</v>
      </c>
      <c r="K39" s="100">
        <v>15</v>
      </c>
      <c r="L39" s="100">
        <v>12</v>
      </c>
      <c r="M39" s="101">
        <v>4.59375</v>
      </c>
      <c r="N39" s="102">
        <v>12</v>
      </c>
      <c r="O39" s="64">
        <v>7000</v>
      </c>
      <c r="P39" s="65">
        <f>Table22457891011234567891011121314151617181920212223[[#This Row],[PEMBULATAN]]*O39</f>
        <v>84000</v>
      </c>
    </row>
    <row r="40" spans="1:16" ht="26.25" customHeight="1" x14ac:dyDescent="0.2">
      <c r="A40" s="14"/>
      <c r="B40" s="14"/>
      <c r="C40" s="95" t="s">
        <v>506</v>
      </c>
      <c r="D40" s="96" t="s">
        <v>83</v>
      </c>
      <c r="E40" s="97">
        <v>44484</v>
      </c>
      <c r="F40" s="98" t="s">
        <v>84</v>
      </c>
      <c r="G40" s="97" t="s">
        <v>466</v>
      </c>
      <c r="H40" s="99" t="s">
        <v>467</v>
      </c>
      <c r="I40" s="100">
        <v>35</v>
      </c>
      <c r="J40" s="100">
        <v>35</v>
      </c>
      <c r="K40" s="100">
        <v>15</v>
      </c>
      <c r="L40" s="100">
        <v>12</v>
      </c>
      <c r="M40" s="101">
        <v>4.59375</v>
      </c>
      <c r="N40" s="102">
        <v>12</v>
      </c>
      <c r="O40" s="64">
        <v>7000</v>
      </c>
      <c r="P40" s="65">
        <f>Table22457891011234567891011121314151617181920212223[[#This Row],[PEMBULATAN]]*O40</f>
        <v>84000</v>
      </c>
    </row>
    <row r="41" spans="1:16" ht="26.25" customHeight="1" x14ac:dyDescent="0.2">
      <c r="A41" s="14"/>
      <c r="B41" s="14"/>
      <c r="C41" s="95" t="s">
        <v>507</v>
      </c>
      <c r="D41" s="96" t="s">
        <v>83</v>
      </c>
      <c r="E41" s="97">
        <v>44484</v>
      </c>
      <c r="F41" s="98" t="s">
        <v>84</v>
      </c>
      <c r="G41" s="97" t="s">
        <v>466</v>
      </c>
      <c r="H41" s="99" t="s">
        <v>467</v>
      </c>
      <c r="I41" s="100">
        <v>35</v>
      </c>
      <c r="J41" s="100">
        <v>35</v>
      </c>
      <c r="K41" s="100">
        <v>15</v>
      </c>
      <c r="L41" s="100">
        <v>12</v>
      </c>
      <c r="M41" s="101">
        <v>4.59375</v>
      </c>
      <c r="N41" s="102">
        <v>12</v>
      </c>
      <c r="O41" s="64">
        <v>7000</v>
      </c>
      <c r="P41" s="65">
        <f>Table22457891011234567891011121314151617181920212223[[#This Row],[PEMBULATAN]]*O41</f>
        <v>84000</v>
      </c>
    </row>
    <row r="42" spans="1:16" ht="26.25" customHeight="1" x14ac:dyDescent="0.2">
      <c r="A42" s="14"/>
      <c r="B42" s="14"/>
      <c r="C42" s="95" t="s">
        <v>508</v>
      </c>
      <c r="D42" s="96" t="s">
        <v>83</v>
      </c>
      <c r="E42" s="97">
        <v>44484</v>
      </c>
      <c r="F42" s="98" t="s">
        <v>84</v>
      </c>
      <c r="G42" s="97" t="s">
        <v>466</v>
      </c>
      <c r="H42" s="99" t="s">
        <v>467</v>
      </c>
      <c r="I42" s="100">
        <v>35</v>
      </c>
      <c r="J42" s="100">
        <v>35</v>
      </c>
      <c r="K42" s="100">
        <v>15</v>
      </c>
      <c r="L42" s="100">
        <v>12</v>
      </c>
      <c r="M42" s="101">
        <v>4.59375</v>
      </c>
      <c r="N42" s="102">
        <v>12</v>
      </c>
      <c r="O42" s="64">
        <v>7000</v>
      </c>
      <c r="P42" s="65">
        <f>Table22457891011234567891011121314151617181920212223[[#This Row],[PEMBULATAN]]*O42</f>
        <v>84000</v>
      </c>
    </row>
    <row r="43" spans="1:16" ht="26.25" customHeight="1" x14ac:dyDescent="0.2">
      <c r="A43" s="14"/>
      <c r="B43" s="14"/>
      <c r="C43" s="95" t="s">
        <v>509</v>
      </c>
      <c r="D43" s="96" t="s">
        <v>83</v>
      </c>
      <c r="E43" s="97">
        <v>44484</v>
      </c>
      <c r="F43" s="98" t="s">
        <v>84</v>
      </c>
      <c r="G43" s="97" t="s">
        <v>466</v>
      </c>
      <c r="H43" s="99" t="s">
        <v>467</v>
      </c>
      <c r="I43" s="100">
        <v>35</v>
      </c>
      <c r="J43" s="100">
        <v>35</v>
      </c>
      <c r="K43" s="100">
        <v>15</v>
      </c>
      <c r="L43" s="100">
        <v>12</v>
      </c>
      <c r="M43" s="101">
        <v>4.59375</v>
      </c>
      <c r="N43" s="102">
        <v>12</v>
      </c>
      <c r="O43" s="64">
        <v>7000</v>
      </c>
      <c r="P43" s="65">
        <f>Table22457891011234567891011121314151617181920212223[[#This Row],[PEMBULATAN]]*O43</f>
        <v>84000</v>
      </c>
    </row>
    <row r="44" spans="1:16" ht="26.25" customHeight="1" x14ac:dyDescent="0.2">
      <c r="A44" s="14"/>
      <c r="B44" s="14"/>
      <c r="C44" s="95" t="s">
        <v>510</v>
      </c>
      <c r="D44" s="96" t="s">
        <v>83</v>
      </c>
      <c r="E44" s="97">
        <v>44484</v>
      </c>
      <c r="F44" s="98" t="s">
        <v>84</v>
      </c>
      <c r="G44" s="97" t="s">
        <v>466</v>
      </c>
      <c r="H44" s="99" t="s">
        <v>467</v>
      </c>
      <c r="I44" s="100">
        <v>35</v>
      </c>
      <c r="J44" s="100">
        <v>35</v>
      </c>
      <c r="K44" s="100">
        <v>15</v>
      </c>
      <c r="L44" s="100">
        <v>12</v>
      </c>
      <c r="M44" s="101">
        <v>4.59375</v>
      </c>
      <c r="N44" s="102">
        <v>12</v>
      </c>
      <c r="O44" s="64">
        <v>7000</v>
      </c>
      <c r="P44" s="65">
        <f>Table22457891011234567891011121314151617181920212223[[#This Row],[PEMBULATAN]]*O44</f>
        <v>84000</v>
      </c>
    </row>
    <row r="45" spans="1:16" ht="26.25" customHeight="1" x14ac:dyDescent="0.2">
      <c r="A45" s="14"/>
      <c r="B45" s="14"/>
      <c r="C45" s="95" t="s">
        <v>511</v>
      </c>
      <c r="D45" s="96" t="s">
        <v>83</v>
      </c>
      <c r="E45" s="97">
        <v>44484</v>
      </c>
      <c r="F45" s="98" t="s">
        <v>84</v>
      </c>
      <c r="G45" s="97" t="s">
        <v>466</v>
      </c>
      <c r="H45" s="99" t="s">
        <v>467</v>
      </c>
      <c r="I45" s="100">
        <v>35</v>
      </c>
      <c r="J45" s="100">
        <v>35</v>
      </c>
      <c r="K45" s="100">
        <v>15</v>
      </c>
      <c r="L45" s="100">
        <v>12</v>
      </c>
      <c r="M45" s="101">
        <v>4.59375</v>
      </c>
      <c r="N45" s="102">
        <v>12</v>
      </c>
      <c r="O45" s="64">
        <v>7000</v>
      </c>
      <c r="P45" s="65">
        <f>Table22457891011234567891011121314151617181920212223[[#This Row],[PEMBULATAN]]*O45</f>
        <v>84000</v>
      </c>
    </row>
    <row r="46" spans="1:16" ht="26.25" customHeight="1" x14ac:dyDescent="0.2">
      <c r="A46" s="14"/>
      <c r="B46" s="14"/>
      <c r="C46" s="95" t="s">
        <v>512</v>
      </c>
      <c r="D46" s="96" t="s">
        <v>83</v>
      </c>
      <c r="E46" s="97">
        <v>44484</v>
      </c>
      <c r="F46" s="98" t="s">
        <v>84</v>
      </c>
      <c r="G46" s="97" t="s">
        <v>466</v>
      </c>
      <c r="H46" s="99" t="s">
        <v>467</v>
      </c>
      <c r="I46" s="100">
        <v>35</v>
      </c>
      <c r="J46" s="100">
        <v>35</v>
      </c>
      <c r="K46" s="100">
        <v>15</v>
      </c>
      <c r="L46" s="100">
        <v>12</v>
      </c>
      <c r="M46" s="101">
        <v>4.59375</v>
      </c>
      <c r="N46" s="102">
        <v>12</v>
      </c>
      <c r="O46" s="64">
        <v>7000</v>
      </c>
      <c r="P46" s="65">
        <f>Table22457891011234567891011121314151617181920212223[[#This Row],[PEMBULATAN]]*O46</f>
        <v>84000</v>
      </c>
    </row>
    <row r="47" spans="1:16" ht="26.25" customHeight="1" x14ac:dyDescent="0.2">
      <c r="A47" s="14"/>
      <c r="B47" s="14"/>
      <c r="C47" s="95" t="s">
        <v>513</v>
      </c>
      <c r="D47" s="96" t="s">
        <v>83</v>
      </c>
      <c r="E47" s="97">
        <v>44484</v>
      </c>
      <c r="F47" s="98" t="s">
        <v>84</v>
      </c>
      <c r="G47" s="97" t="s">
        <v>466</v>
      </c>
      <c r="H47" s="99" t="s">
        <v>467</v>
      </c>
      <c r="I47" s="100">
        <v>35</v>
      </c>
      <c r="J47" s="100">
        <v>35</v>
      </c>
      <c r="K47" s="100">
        <v>15</v>
      </c>
      <c r="L47" s="100">
        <v>12</v>
      </c>
      <c r="M47" s="101">
        <v>4.59375</v>
      </c>
      <c r="N47" s="102">
        <v>12</v>
      </c>
      <c r="O47" s="64">
        <v>7000</v>
      </c>
      <c r="P47" s="65">
        <f>Table22457891011234567891011121314151617181920212223[[#This Row],[PEMBULATAN]]*O47</f>
        <v>84000</v>
      </c>
    </row>
    <row r="48" spans="1:16" ht="22.5" customHeight="1" x14ac:dyDescent="0.2">
      <c r="A48" s="143" t="s">
        <v>30</v>
      </c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5"/>
      <c r="M48" s="78">
        <f>SUBTOTAL(109,Table22457891011234567891011121314151617181920212223[KG VOLUME])</f>
        <v>588.77674999999999</v>
      </c>
      <c r="N48" s="68">
        <f>SUM(N3:N47)</f>
        <v>716</v>
      </c>
      <c r="O48" s="146">
        <f>SUM(P3:P47)</f>
        <v>5012000</v>
      </c>
      <c r="P48" s="147"/>
    </row>
    <row r="49" spans="1:16" ht="18" customHeight="1" x14ac:dyDescent="0.2">
      <c r="A49" s="85"/>
      <c r="B49" s="56" t="s">
        <v>42</v>
      </c>
      <c r="C49" s="55"/>
      <c r="D49" s="57" t="s">
        <v>43</v>
      </c>
      <c r="E49" s="85"/>
      <c r="F49" s="85"/>
      <c r="G49" s="85"/>
      <c r="H49" s="85"/>
      <c r="I49" s="85"/>
      <c r="J49" s="85"/>
      <c r="K49" s="85"/>
      <c r="L49" s="85"/>
      <c r="M49" s="86"/>
      <c r="N49" s="87" t="s">
        <v>52</v>
      </c>
      <c r="O49" s="88"/>
      <c r="P49" s="88">
        <v>0</v>
      </c>
    </row>
    <row r="50" spans="1:16" ht="18" customHeight="1" thickBot="1" x14ac:dyDescent="0.25">
      <c r="A50" s="85"/>
      <c r="B50" s="56"/>
      <c r="C50" s="55"/>
      <c r="D50" s="57"/>
      <c r="E50" s="85"/>
      <c r="F50" s="85"/>
      <c r="G50" s="85"/>
      <c r="H50" s="85"/>
      <c r="I50" s="85"/>
      <c r="J50" s="85"/>
      <c r="K50" s="85"/>
      <c r="L50" s="85"/>
      <c r="M50" s="86"/>
      <c r="N50" s="89" t="s">
        <v>53</v>
      </c>
      <c r="O50" s="90"/>
      <c r="P50" s="90">
        <f>O48-P49</f>
        <v>5012000</v>
      </c>
    </row>
    <row r="51" spans="1:16" ht="18" customHeight="1" x14ac:dyDescent="0.2">
      <c r="A51" s="11"/>
      <c r="H51" s="63"/>
      <c r="N51" s="62" t="s">
        <v>31</v>
      </c>
      <c r="P51" s="69">
        <f>P50*1%</f>
        <v>50120</v>
      </c>
    </row>
    <row r="52" spans="1:16" ht="18" customHeight="1" thickBot="1" x14ac:dyDescent="0.25">
      <c r="A52" s="11"/>
      <c r="H52" s="63"/>
      <c r="N52" s="62" t="s">
        <v>54</v>
      </c>
      <c r="P52" s="71">
        <f>P50*2%</f>
        <v>100240</v>
      </c>
    </row>
    <row r="53" spans="1:16" ht="18" customHeight="1" x14ac:dyDescent="0.2">
      <c r="A53" s="11"/>
      <c r="H53" s="63"/>
      <c r="N53" s="66" t="s">
        <v>32</v>
      </c>
      <c r="O53" s="67"/>
      <c r="P53" s="70">
        <f>P50+P51-P52</f>
        <v>4961880</v>
      </c>
    </row>
    <row r="55" spans="1:16" x14ac:dyDescent="0.2">
      <c r="A55" s="11"/>
      <c r="H55" s="63"/>
      <c r="P55" s="71"/>
    </row>
    <row r="56" spans="1:16" x14ac:dyDescent="0.2">
      <c r="A56" s="11"/>
      <c r="H56" s="63"/>
      <c r="O56" s="58"/>
      <c r="P56" s="71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3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3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  <row r="68" spans="1:16" s="3" customFormat="1" x14ac:dyDescent="0.25">
      <c r="A68" s="11"/>
      <c r="B68" s="2"/>
      <c r="C68" s="2"/>
      <c r="E68" s="12"/>
      <c r="H68" s="63"/>
      <c r="N68" s="15"/>
      <c r="O68" s="15"/>
      <c r="P68" s="15"/>
    </row>
  </sheetData>
  <mergeCells count="2">
    <mergeCell ref="A48:L48"/>
    <mergeCell ref="O48:P48"/>
  </mergeCells>
  <conditionalFormatting sqref="B3">
    <cfRule type="duplicateValues" dxfId="560" priority="2"/>
  </conditionalFormatting>
  <conditionalFormatting sqref="B4">
    <cfRule type="duplicateValues" dxfId="559" priority="1"/>
  </conditionalFormatting>
  <conditionalFormatting sqref="B5:B47">
    <cfRule type="duplicateValues" dxfId="558" priority="5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7" sqref="O7:P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403901</v>
      </c>
      <c r="B3" s="73" t="s">
        <v>514</v>
      </c>
      <c r="C3" s="9" t="s">
        <v>515</v>
      </c>
      <c r="D3" s="75" t="s">
        <v>83</v>
      </c>
      <c r="E3" s="13">
        <v>44484</v>
      </c>
      <c r="F3" s="75" t="s">
        <v>84</v>
      </c>
      <c r="G3" s="13" t="s">
        <v>466</v>
      </c>
      <c r="H3" s="10" t="s">
        <v>467</v>
      </c>
      <c r="I3" s="1">
        <v>40</v>
      </c>
      <c r="J3" s="1">
        <v>23</v>
      </c>
      <c r="K3" s="1">
        <v>26</v>
      </c>
      <c r="L3" s="1">
        <v>5</v>
      </c>
      <c r="M3" s="79">
        <v>5.98</v>
      </c>
      <c r="N3" s="8">
        <v>6</v>
      </c>
      <c r="O3" s="64">
        <v>7000</v>
      </c>
      <c r="P3" s="65">
        <f>Table2245789101123456789101112131415161718192021222324[[#This Row],[PEMBULATAN]]*O3</f>
        <v>42000</v>
      </c>
    </row>
    <row r="4" spans="1:16" ht="26.25" customHeight="1" x14ac:dyDescent="0.2">
      <c r="A4" s="14"/>
      <c r="B4" s="74"/>
      <c r="C4" s="9" t="s">
        <v>516</v>
      </c>
      <c r="D4" s="75" t="s">
        <v>83</v>
      </c>
      <c r="E4" s="13">
        <v>44484</v>
      </c>
      <c r="F4" s="75" t="s">
        <v>84</v>
      </c>
      <c r="G4" s="13" t="s">
        <v>466</v>
      </c>
      <c r="H4" s="10" t="s">
        <v>467</v>
      </c>
      <c r="I4" s="1">
        <v>34</v>
      </c>
      <c r="J4" s="1">
        <v>27</v>
      </c>
      <c r="K4" s="1">
        <v>15</v>
      </c>
      <c r="L4" s="1">
        <v>8</v>
      </c>
      <c r="M4" s="79">
        <v>3.4424999999999999</v>
      </c>
      <c r="N4" s="8">
        <v>8</v>
      </c>
      <c r="O4" s="64">
        <v>7000</v>
      </c>
      <c r="P4" s="65">
        <f>Table2245789101123456789101112131415161718192021222324[[#This Row],[PEMBULATAN]]*O4</f>
        <v>56000</v>
      </c>
    </row>
    <row r="5" spans="1:16" ht="26.25" customHeight="1" x14ac:dyDescent="0.2">
      <c r="A5" s="14"/>
      <c r="B5" s="14"/>
      <c r="C5" s="9" t="s">
        <v>517</v>
      </c>
      <c r="D5" s="75" t="s">
        <v>83</v>
      </c>
      <c r="E5" s="13">
        <v>44484</v>
      </c>
      <c r="F5" s="75" t="s">
        <v>84</v>
      </c>
      <c r="G5" s="13" t="s">
        <v>466</v>
      </c>
      <c r="H5" s="10" t="s">
        <v>467</v>
      </c>
      <c r="I5" s="1">
        <v>36</v>
      </c>
      <c r="J5" s="1">
        <v>30</v>
      </c>
      <c r="K5" s="1">
        <v>22</v>
      </c>
      <c r="L5" s="1">
        <v>8</v>
      </c>
      <c r="M5" s="79">
        <v>5.94</v>
      </c>
      <c r="N5" s="8">
        <v>8</v>
      </c>
      <c r="O5" s="64">
        <v>7000</v>
      </c>
      <c r="P5" s="65">
        <f>Table2245789101123456789101112131415161718192021222324[[#This Row],[PEMBULATAN]]*O5</f>
        <v>56000</v>
      </c>
    </row>
    <row r="6" spans="1:16" ht="26.25" customHeight="1" x14ac:dyDescent="0.2">
      <c r="A6" s="14"/>
      <c r="B6" s="14"/>
      <c r="C6" s="95" t="s">
        <v>518</v>
      </c>
      <c r="D6" s="96" t="s">
        <v>83</v>
      </c>
      <c r="E6" s="97">
        <v>44484</v>
      </c>
      <c r="F6" s="98" t="s">
        <v>84</v>
      </c>
      <c r="G6" s="97" t="s">
        <v>466</v>
      </c>
      <c r="H6" s="99" t="s">
        <v>467</v>
      </c>
      <c r="I6" s="100">
        <v>44</v>
      </c>
      <c r="J6" s="100">
        <v>51</v>
      </c>
      <c r="K6" s="100">
        <v>43</v>
      </c>
      <c r="L6" s="100">
        <v>12</v>
      </c>
      <c r="M6" s="101">
        <v>24.123000000000001</v>
      </c>
      <c r="N6" s="102">
        <v>24</v>
      </c>
      <c r="O6" s="64">
        <v>7000</v>
      </c>
      <c r="P6" s="65">
        <f>Table2245789101123456789101112131415161718192021222324[[#This Row],[PEMBULATAN]]*O6</f>
        <v>168000</v>
      </c>
    </row>
    <row r="7" spans="1:16" ht="22.5" customHeight="1" x14ac:dyDescent="0.2">
      <c r="A7" s="143" t="s">
        <v>30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5"/>
      <c r="M7" s="78">
        <f>SUBTOTAL(109,Table2245789101123456789101112131415161718192021222324[KG VOLUME])</f>
        <v>39.485500000000002</v>
      </c>
      <c r="N7" s="68">
        <f>SUM(N3:N6)</f>
        <v>46</v>
      </c>
      <c r="O7" s="146">
        <f>SUM(P3:P6)</f>
        <v>322000</v>
      </c>
      <c r="P7" s="147"/>
    </row>
    <row r="8" spans="1:16" ht="18" customHeight="1" x14ac:dyDescent="0.2">
      <c r="A8" s="85"/>
      <c r="B8" s="56" t="s">
        <v>42</v>
      </c>
      <c r="C8" s="55"/>
      <c r="D8" s="57" t="s">
        <v>43</v>
      </c>
      <c r="E8" s="85"/>
      <c r="F8" s="85"/>
      <c r="G8" s="85"/>
      <c r="H8" s="85"/>
      <c r="I8" s="85"/>
      <c r="J8" s="85"/>
      <c r="K8" s="85"/>
      <c r="L8" s="85"/>
      <c r="M8" s="86"/>
      <c r="N8" s="87" t="s">
        <v>52</v>
      </c>
      <c r="O8" s="88"/>
      <c r="P8" s="88">
        <v>0</v>
      </c>
    </row>
    <row r="9" spans="1:16" ht="18" customHeight="1" thickBot="1" x14ac:dyDescent="0.25">
      <c r="A9" s="85"/>
      <c r="B9" s="56"/>
      <c r="C9" s="55"/>
      <c r="D9" s="57"/>
      <c r="E9" s="85"/>
      <c r="F9" s="85"/>
      <c r="G9" s="85"/>
      <c r="H9" s="85"/>
      <c r="I9" s="85"/>
      <c r="J9" s="85"/>
      <c r="K9" s="85"/>
      <c r="L9" s="85"/>
      <c r="M9" s="86"/>
      <c r="N9" s="89" t="s">
        <v>53</v>
      </c>
      <c r="O9" s="90"/>
      <c r="P9" s="90">
        <f>O7-P8</f>
        <v>322000</v>
      </c>
    </row>
    <row r="10" spans="1:16" ht="18" customHeight="1" x14ac:dyDescent="0.2">
      <c r="A10" s="11"/>
      <c r="H10" s="63"/>
      <c r="N10" s="62" t="s">
        <v>31</v>
      </c>
      <c r="P10" s="69">
        <f>P9*1%</f>
        <v>3220</v>
      </c>
    </row>
    <row r="11" spans="1:16" ht="18" customHeight="1" thickBot="1" x14ac:dyDescent="0.25">
      <c r="A11" s="11"/>
      <c r="H11" s="63"/>
      <c r="N11" s="62" t="s">
        <v>54</v>
      </c>
      <c r="P11" s="71">
        <f>P9*2%</f>
        <v>6440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318780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542" priority="2"/>
  </conditionalFormatting>
  <conditionalFormatting sqref="B4">
    <cfRule type="duplicateValues" dxfId="541" priority="1"/>
  </conditionalFormatting>
  <conditionalFormatting sqref="B5:B6">
    <cfRule type="duplicateValues" dxfId="540" priority="5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403904</v>
      </c>
      <c r="B3" s="73" t="s">
        <v>519</v>
      </c>
      <c r="C3" s="9" t="s">
        <v>520</v>
      </c>
      <c r="D3" s="75" t="s">
        <v>83</v>
      </c>
      <c r="E3" s="13">
        <v>44485</v>
      </c>
      <c r="F3" s="75" t="s">
        <v>84</v>
      </c>
      <c r="G3" s="13" t="s">
        <v>466</v>
      </c>
      <c r="H3" s="10" t="s">
        <v>467</v>
      </c>
      <c r="I3" s="1">
        <v>71</v>
      </c>
      <c r="J3" s="1">
        <v>56</v>
      </c>
      <c r="K3" s="1">
        <v>20</v>
      </c>
      <c r="L3" s="1">
        <v>19</v>
      </c>
      <c r="M3" s="79">
        <v>19.88</v>
      </c>
      <c r="N3" s="103">
        <v>19.88</v>
      </c>
      <c r="O3" s="64">
        <v>7000</v>
      </c>
      <c r="P3" s="65">
        <f>Table224578910112345678910111213141516171819202122232425[[#This Row],[PEMBULATAN]]*O3</f>
        <v>139160</v>
      </c>
    </row>
    <row r="4" spans="1:16" ht="26.25" customHeight="1" x14ac:dyDescent="0.2">
      <c r="A4" s="14"/>
      <c r="B4" s="108"/>
      <c r="C4" s="9" t="s">
        <v>521</v>
      </c>
      <c r="D4" s="75" t="s">
        <v>83</v>
      </c>
      <c r="E4" s="13">
        <v>44485</v>
      </c>
      <c r="F4" s="75" t="s">
        <v>84</v>
      </c>
      <c r="G4" s="13" t="s">
        <v>466</v>
      </c>
      <c r="H4" s="10" t="s">
        <v>467</v>
      </c>
      <c r="I4" s="1">
        <v>103</v>
      </c>
      <c r="J4" s="1">
        <v>51</v>
      </c>
      <c r="K4" s="1">
        <v>13</v>
      </c>
      <c r="L4" s="1">
        <v>12</v>
      </c>
      <c r="M4" s="79">
        <v>17.07225</v>
      </c>
      <c r="N4" s="103">
        <v>17.07225</v>
      </c>
      <c r="O4" s="64">
        <v>7000</v>
      </c>
      <c r="P4" s="65">
        <f>Table224578910112345678910111213141516171819202122232425[[#This Row],[PEMBULATAN]]*O4</f>
        <v>119505.75</v>
      </c>
    </row>
    <row r="5" spans="1:16" ht="26.25" customHeight="1" x14ac:dyDescent="0.2">
      <c r="A5" s="14"/>
      <c r="B5" s="74" t="s">
        <v>522</v>
      </c>
      <c r="C5" s="95" t="s">
        <v>523</v>
      </c>
      <c r="D5" s="96" t="s">
        <v>83</v>
      </c>
      <c r="E5" s="97">
        <v>44485</v>
      </c>
      <c r="F5" s="98" t="s">
        <v>84</v>
      </c>
      <c r="G5" s="97" t="s">
        <v>466</v>
      </c>
      <c r="H5" s="99" t="s">
        <v>467</v>
      </c>
      <c r="I5" s="100">
        <v>61</v>
      </c>
      <c r="J5" s="100">
        <v>36</v>
      </c>
      <c r="K5" s="100">
        <v>43</v>
      </c>
      <c r="L5" s="100">
        <v>18</v>
      </c>
      <c r="M5" s="101">
        <v>23.606999999999999</v>
      </c>
      <c r="N5" s="107">
        <v>23.606999999999999</v>
      </c>
      <c r="O5" s="64">
        <v>7000</v>
      </c>
      <c r="P5" s="65">
        <f>Table224578910112345678910111213141516171819202122232425[[#This Row],[PEMBULATAN]]*O5</f>
        <v>165249</v>
      </c>
    </row>
    <row r="6" spans="1:16" ht="22.5" customHeight="1" x14ac:dyDescent="0.2">
      <c r="A6" s="143" t="s">
        <v>30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5"/>
      <c r="M6" s="78">
        <f>SUBTOTAL(109,Table224578910112345678910111213141516171819202122232425[KG VOLUME])</f>
        <v>60.559249999999999</v>
      </c>
      <c r="N6" s="68">
        <f>SUM(N3:N5)</f>
        <v>60.559249999999999</v>
      </c>
      <c r="O6" s="146">
        <f>SUM(P3:P5)</f>
        <v>423914.75</v>
      </c>
      <c r="P6" s="147"/>
    </row>
    <row r="7" spans="1:16" ht="18" customHeight="1" x14ac:dyDescent="0.2">
      <c r="A7" s="85"/>
      <c r="B7" s="56" t="s">
        <v>42</v>
      </c>
      <c r="C7" s="55"/>
      <c r="D7" s="57" t="s">
        <v>43</v>
      </c>
      <c r="E7" s="85"/>
      <c r="F7" s="85"/>
      <c r="G7" s="85"/>
      <c r="H7" s="85"/>
      <c r="I7" s="85"/>
      <c r="J7" s="85"/>
      <c r="K7" s="85"/>
      <c r="L7" s="85"/>
      <c r="M7" s="86"/>
      <c r="N7" s="87" t="s">
        <v>52</v>
      </c>
      <c r="O7" s="88"/>
      <c r="P7" s="88">
        <v>0</v>
      </c>
    </row>
    <row r="8" spans="1:16" ht="18" customHeight="1" thickBot="1" x14ac:dyDescent="0.25">
      <c r="A8" s="85"/>
      <c r="B8" s="56"/>
      <c r="C8" s="55"/>
      <c r="D8" s="57"/>
      <c r="E8" s="85"/>
      <c r="F8" s="85"/>
      <c r="G8" s="85"/>
      <c r="H8" s="85"/>
      <c r="I8" s="85"/>
      <c r="J8" s="85"/>
      <c r="K8" s="85"/>
      <c r="L8" s="85"/>
      <c r="M8" s="86"/>
      <c r="N8" s="89" t="s">
        <v>53</v>
      </c>
      <c r="O8" s="90"/>
      <c r="P8" s="90">
        <f>O6-P7</f>
        <v>423914.75</v>
      </c>
    </row>
    <row r="9" spans="1:16" ht="18" customHeight="1" x14ac:dyDescent="0.2">
      <c r="A9" s="11"/>
      <c r="H9" s="63"/>
      <c r="N9" s="62" t="s">
        <v>31</v>
      </c>
      <c r="P9" s="69">
        <f>P8*1%</f>
        <v>4239.1475</v>
      </c>
    </row>
    <row r="10" spans="1:16" ht="18" customHeight="1" thickBot="1" x14ac:dyDescent="0.25">
      <c r="A10" s="11"/>
      <c r="H10" s="63"/>
      <c r="N10" s="62" t="s">
        <v>54</v>
      </c>
      <c r="P10" s="71">
        <f>P8*2%</f>
        <v>8478.2950000000001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419675.60250000004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524" priority="2"/>
  </conditionalFormatting>
  <conditionalFormatting sqref="B4:B5">
    <cfRule type="duplicateValues" dxfId="523" priority="5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0"/>
  <sheetViews>
    <sheetView zoomScale="110" zoomScaleNormal="110" workbookViewId="0">
      <pane xSplit="3" ySplit="2" topLeftCell="D23" activePane="bottomRight" state="frozen"/>
      <selection pane="topRight" activeCell="B1" sqref="B1"/>
      <selection pane="bottomLeft" activeCell="A3" sqref="A3"/>
      <selection pane="bottomRight" activeCell="O31" sqref="O3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402234</v>
      </c>
      <c r="B3" s="73" t="s">
        <v>524</v>
      </c>
      <c r="C3" s="9" t="s">
        <v>525</v>
      </c>
      <c r="D3" s="75" t="s">
        <v>83</v>
      </c>
      <c r="E3" s="13">
        <v>44485</v>
      </c>
      <c r="F3" s="75" t="s">
        <v>84</v>
      </c>
      <c r="G3" s="13" t="s">
        <v>466</v>
      </c>
      <c r="H3" s="10" t="s">
        <v>467</v>
      </c>
      <c r="I3" s="1">
        <v>38</v>
      </c>
      <c r="J3" s="1">
        <v>25</v>
      </c>
      <c r="K3" s="1">
        <v>15</v>
      </c>
      <c r="L3" s="1">
        <v>6</v>
      </c>
      <c r="M3" s="79">
        <v>3.5625</v>
      </c>
      <c r="N3" s="103">
        <v>6</v>
      </c>
      <c r="O3" s="64">
        <v>7000</v>
      </c>
      <c r="P3" s="65">
        <f>Table22457891011234567891011121314151617181920212223242526[[#This Row],[PEMBULATAN]]*O3</f>
        <v>42000</v>
      </c>
    </row>
    <row r="4" spans="1:16" ht="26.25" customHeight="1" x14ac:dyDescent="0.2">
      <c r="A4" s="14"/>
      <c r="B4" s="108"/>
      <c r="C4" s="9" t="s">
        <v>526</v>
      </c>
      <c r="D4" s="75" t="s">
        <v>83</v>
      </c>
      <c r="E4" s="13">
        <v>44485</v>
      </c>
      <c r="F4" s="75" t="s">
        <v>84</v>
      </c>
      <c r="G4" s="13" t="s">
        <v>466</v>
      </c>
      <c r="H4" s="10" t="s">
        <v>467</v>
      </c>
      <c r="I4" s="1">
        <v>70</v>
      </c>
      <c r="J4" s="1">
        <v>33</v>
      </c>
      <c r="K4" s="1">
        <v>34</v>
      </c>
      <c r="L4" s="1">
        <v>19</v>
      </c>
      <c r="M4" s="79">
        <v>19.635000000000002</v>
      </c>
      <c r="N4" s="103">
        <v>19.635000000000002</v>
      </c>
      <c r="O4" s="64">
        <v>7000</v>
      </c>
      <c r="P4" s="65">
        <f>Table22457891011234567891011121314151617181920212223242526[[#This Row],[PEMBULATAN]]*O4</f>
        <v>137445</v>
      </c>
    </row>
    <row r="5" spans="1:16" ht="26.25" customHeight="1" x14ac:dyDescent="0.2">
      <c r="A5" s="14"/>
      <c r="B5" s="74" t="s">
        <v>527</v>
      </c>
      <c r="C5" s="95" t="s">
        <v>528</v>
      </c>
      <c r="D5" s="96" t="s">
        <v>83</v>
      </c>
      <c r="E5" s="97">
        <v>44485</v>
      </c>
      <c r="F5" s="98" t="s">
        <v>84</v>
      </c>
      <c r="G5" s="97" t="s">
        <v>466</v>
      </c>
      <c r="H5" s="99" t="s">
        <v>467</v>
      </c>
      <c r="I5" s="100">
        <v>31</v>
      </c>
      <c r="J5" s="100">
        <v>25</v>
      </c>
      <c r="K5" s="100">
        <v>12</v>
      </c>
      <c r="L5" s="100">
        <v>4</v>
      </c>
      <c r="M5" s="101">
        <v>2.3250000000000002</v>
      </c>
      <c r="N5" s="107">
        <v>4</v>
      </c>
      <c r="O5" s="64">
        <v>7000</v>
      </c>
      <c r="P5" s="65">
        <f>Table22457891011234567891011121314151617181920212223242526[[#This Row],[PEMBULATAN]]*O5</f>
        <v>28000</v>
      </c>
    </row>
    <row r="6" spans="1:16" ht="26.25" customHeight="1" x14ac:dyDescent="0.2">
      <c r="A6" s="14"/>
      <c r="B6" s="74"/>
      <c r="C6" s="95" t="s">
        <v>529</v>
      </c>
      <c r="D6" s="96" t="s">
        <v>83</v>
      </c>
      <c r="E6" s="97">
        <v>44485</v>
      </c>
      <c r="F6" s="98" t="s">
        <v>84</v>
      </c>
      <c r="G6" s="97" t="s">
        <v>466</v>
      </c>
      <c r="H6" s="99" t="s">
        <v>467</v>
      </c>
      <c r="I6" s="100">
        <v>65</v>
      </c>
      <c r="J6" s="100">
        <v>66</v>
      </c>
      <c r="K6" s="100">
        <v>21</v>
      </c>
      <c r="L6" s="100">
        <v>14</v>
      </c>
      <c r="M6" s="101">
        <v>22.522500000000001</v>
      </c>
      <c r="N6" s="107">
        <v>22.522500000000001</v>
      </c>
      <c r="O6" s="64">
        <v>7000</v>
      </c>
      <c r="P6" s="65">
        <f>Table22457891011234567891011121314151617181920212223242526[[#This Row],[PEMBULATAN]]*O6</f>
        <v>157657.5</v>
      </c>
    </row>
    <row r="7" spans="1:16" ht="26.25" customHeight="1" x14ac:dyDescent="0.2">
      <c r="A7" s="14"/>
      <c r="B7" s="108"/>
      <c r="C7" s="95" t="s">
        <v>530</v>
      </c>
      <c r="D7" s="96" t="s">
        <v>83</v>
      </c>
      <c r="E7" s="97">
        <v>44485</v>
      </c>
      <c r="F7" s="98" t="s">
        <v>84</v>
      </c>
      <c r="G7" s="97" t="s">
        <v>466</v>
      </c>
      <c r="H7" s="99" t="s">
        <v>467</v>
      </c>
      <c r="I7" s="100">
        <v>65</v>
      </c>
      <c r="J7" s="100">
        <v>66</v>
      </c>
      <c r="K7" s="100">
        <v>21</v>
      </c>
      <c r="L7" s="100">
        <v>15</v>
      </c>
      <c r="M7" s="101">
        <v>22.522500000000001</v>
      </c>
      <c r="N7" s="107">
        <v>22.522500000000001</v>
      </c>
      <c r="O7" s="64">
        <v>7000</v>
      </c>
      <c r="P7" s="65">
        <f>Table22457891011234567891011121314151617181920212223242526[[#This Row],[PEMBULATAN]]*O7</f>
        <v>157657.5</v>
      </c>
    </row>
    <row r="8" spans="1:16" ht="26.25" customHeight="1" x14ac:dyDescent="0.2">
      <c r="A8" s="14"/>
      <c r="B8" s="74" t="s">
        <v>531</v>
      </c>
      <c r="C8" s="95" t="s">
        <v>532</v>
      </c>
      <c r="D8" s="96" t="s">
        <v>83</v>
      </c>
      <c r="E8" s="97">
        <v>44485</v>
      </c>
      <c r="F8" s="98" t="s">
        <v>84</v>
      </c>
      <c r="G8" s="97" t="s">
        <v>466</v>
      </c>
      <c r="H8" s="99" t="s">
        <v>467</v>
      </c>
      <c r="I8" s="100">
        <v>61</v>
      </c>
      <c r="J8" s="100">
        <v>41</v>
      </c>
      <c r="K8" s="100">
        <v>22</v>
      </c>
      <c r="L8" s="100">
        <v>7</v>
      </c>
      <c r="M8" s="101">
        <v>13.7555</v>
      </c>
      <c r="N8" s="107">
        <v>13.7555</v>
      </c>
      <c r="O8" s="64">
        <v>7000</v>
      </c>
      <c r="P8" s="65">
        <f>Table22457891011234567891011121314151617181920212223242526[[#This Row],[PEMBULATAN]]*O8</f>
        <v>96288.5</v>
      </c>
    </row>
    <row r="9" spans="1:16" ht="26.25" customHeight="1" x14ac:dyDescent="0.2">
      <c r="A9" s="14"/>
      <c r="B9" s="108"/>
      <c r="C9" s="95" t="s">
        <v>533</v>
      </c>
      <c r="D9" s="96" t="s">
        <v>83</v>
      </c>
      <c r="E9" s="97">
        <v>44485</v>
      </c>
      <c r="F9" s="98" t="s">
        <v>84</v>
      </c>
      <c r="G9" s="97" t="s">
        <v>466</v>
      </c>
      <c r="H9" s="99" t="s">
        <v>467</v>
      </c>
      <c r="I9" s="100">
        <v>42</v>
      </c>
      <c r="J9" s="100">
        <v>33</v>
      </c>
      <c r="K9" s="100">
        <v>24</v>
      </c>
      <c r="L9" s="100">
        <v>7</v>
      </c>
      <c r="M9" s="101">
        <v>8.3160000000000007</v>
      </c>
      <c r="N9" s="107">
        <v>8.3160000000000007</v>
      </c>
      <c r="O9" s="64">
        <v>7000</v>
      </c>
      <c r="P9" s="65">
        <f>Table22457891011234567891011121314151617181920212223242526[[#This Row],[PEMBULATAN]]*O9</f>
        <v>58212.000000000007</v>
      </c>
    </row>
    <row r="10" spans="1:16" ht="26.25" customHeight="1" x14ac:dyDescent="0.2">
      <c r="A10" s="14"/>
      <c r="B10" s="74" t="s">
        <v>534</v>
      </c>
      <c r="C10" s="95" t="s">
        <v>535</v>
      </c>
      <c r="D10" s="96" t="s">
        <v>83</v>
      </c>
      <c r="E10" s="97">
        <v>44485</v>
      </c>
      <c r="F10" s="98" t="s">
        <v>84</v>
      </c>
      <c r="G10" s="97" t="s">
        <v>466</v>
      </c>
      <c r="H10" s="99" t="s">
        <v>467</v>
      </c>
      <c r="I10" s="100">
        <v>58</v>
      </c>
      <c r="J10" s="100">
        <v>31</v>
      </c>
      <c r="K10" s="100">
        <v>31</v>
      </c>
      <c r="L10" s="100">
        <v>33</v>
      </c>
      <c r="M10" s="101">
        <v>13.9345</v>
      </c>
      <c r="N10" s="107">
        <v>33</v>
      </c>
      <c r="O10" s="64">
        <v>7000</v>
      </c>
      <c r="P10" s="65">
        <f>Table22457891011234567891011121314151617181920212223242526[[#This Row],[PEMBULATAN]]*O10</f>
        <v>231000</v>
      </c>
    </row>
    <row r="11" spans="1:16" ht="26.25" customHeight="1" x14ac:dyDescent="0.2">
      <c r="A11" s="14"/>
      <c r="B11" s="74"/>
      <c r="C11" s="95" t="s">
        <v>536</v>
      </c>
      <c r="D11" s="96" t="s">
        <v>83</v>
      </c>
      <c r="E11" s="97">
        <v>44485</v>
      </c>
      <c r="F11" s="98" t="s">
        <v>84</v>
      </c>
      <c r="G11" s="97" t="s">
        <v>466</v>
      </c>
      <c r="H11" s="99" t="s">
        <v>467</v>
      </c>
      <c r="I11" s="100">
        <v>36</v>
      </c>
      <c r="J11" s="100">
        <v>28</v>
      </c>
      <c r="K11" s="100">
        <v>15</v>
      </c>
      <c r="L11" s="100">
        <v>10</v>
      </c>
      <c r="M11" s="101">
        <v>3.78</v>
      </c>
      <c r="N11" s="107">
        <v>10</v>
      </c>
      <c r="O11" s="64">
        <v>7000</v>
      </c>
      <c r="P11" s="65">
        <f>Table22457891011234567891011121314151617181920212223242526[[#This Row],[PEMBULATAN]]*O11</f>
        <v>70000</v>
      </c>
    </row>
    <row r="12" spans="1:16" ht="26.25" customHeight="1" x14ac:dyDescent="0.2">
      <c r="A12" s="14"/>
      <c r="B12" s="74"/>
      <c r="C12" s="95" t="s">
        <v>537</v>
      </c>
      <c r="D12" s="96" t="s">
        <v>83</v>
      </c>
      <c r="E12" s="97">
        <v>44485</v>
      </c>
      <c r="F12" s="98" t="s">
        <v>84</v>
      </c>
      <c r="G12" s="97" t="s">
        <v>466</v>
      </c>
      <c r="H12" s="99" t="s">
        <v>467</v>
      </c>
      <c r="I12" s="100">
        <v>67</v>
      </c>
      <c r="J12" s="100">
        <v>23</v>
      </c>
      <c r="K12" s="100">
        <v>20</v>
      </c>
      <c r="L12" s="100">
        <v>5</v>
      </c>
      <c r="M12" s="101">
        <v>7.7050000000000001</v>
      </c>
      <c r="N12" s="107">
        <v>7.7050000000000001</v>
      </c>
      <c r="O12" s="64">
        <v>7000</v>
      </c>
      <c r="P12" s="65">
        <f>Table22457891011234567891011121314151617181920212223242526[[#This Row],[PEMBULATAN]]*O12</f>
        <v>53935</v>
      </c>
    </row>
    <row r="13" spans="1:16" ht="26.25" customHeight="1" x14ac:dyDescent="0.2">
      <c r="A13" s="14"/>
      <c r="B13" s="74"/>
      <c r="C13" s="95" t="s">
        <v>538</v>
      </c>
      <c r="D13" s="96" t="s">
        <v>83</v>
      </c>
      <c r="E13" s="97">
        <v>44485</v>
      </c>
      <c r="F13" s="98" t="s">
        <v>84</v>
      </c>
      <c r="G13" s="97" t="s">
        <v>466</v>
      </c>
      <c r="H13" s="99" t="s">
        <v>467</v>
      </c>
      <c r="I13" s="100">
        <v>30</v>
      </c>
      <c r="J13" s="100">
        <v>26</v>
      </c>
      <c r="K13" s="100">
        <v>11</v>
      </c>
      <c r="L13" s="100">
        <v>5</v>
      </c>
      <c r="M13" s="101">
        <v>2.145</v>
      </c>
      <c r="N13" s="107">
        <v>5</v>
      </c>
      <c r="O13" s="64">
        <v>7000</v>
      </c>
      <c r="P13" s="65">
        <f>Table22457891011234567891011121314151617181920212223242526[[#This Row],[PEMBULATAN]]*O13</f>
        <v>35000</v>
      </c>
    </row>
    <row r="14" spans="1:16" ht="26.25" customHeight="1" x14ac:dyDescent="0.2">
      <c r="A14" s="14"/>
      <c r="B14" s="74"/>
      <c r="C14" s="95" t="s">
        <v>539</v>
      </c>
      <c r="D14" s="96" t="s">
        <v>83</v>
      </c>
      <c r="E14" s="97">
        <v>44485</v>
      </c>
      <c r="F14" s="98" t="s">
        <v>84</v>
      </c>
      <c r="G14" s="97" t="s">
        <v>466</v>
      </c>
      <c r="H14" s="99" t="s">
        <v>467</v>
      </c>
      <c r="I14" s="100">
        <v>25</v>
      </c>
      <c r="J14" s="100">
        <v>20</v>
      </c>
      <c r="K14" s="100">
        <v>21</v>
      </c>
      <c r="L14" s="100">
        <v>11</v>
      </c>
      <c r="M14" s="101">
        <v>2.625</v>
      </c>
      <c r="N14" s="107">
        <v>11</v>
      </c>
      <c r="O14" s="64">
        <v>7000</v>
      </c>
      <c r="P14" s="65">
        <f>Table22457891011234567891011121314151617181920212223242526[[#This Row],[PEMBULATAN]]*O14</f>
        <v>77000</v>
      </c>
    </row>
    <row r="15" spans="1:16" ht="26.25" customHeight="1" x14ac:dyDescent="0.2">
      <c r="A15" s="14"/>
      <c r="B15" s="74"/>
      <c r="C15" s="95" t="s">
        <v>540</v>
      </c>
      <c r="D15" s="96" t="s">
        <v>83</v>
      </c>
      <c r="E15" s="97">
        <v>44485</v>
      </c>
      <c r="F15" s="98" t="s">
        <v>84</v>
      </c>
      <c r="G15" s="97" t="s">
        <v>466</v>
      </c>
      <c r="H15" s="99" t="s">
        <v>467</v>
      </c>
      <c r="I15" s="100">
        <v>61</v>
      </c>
      <c r="J15" s="100">
        <v>45</v>
      </c>
      <c r="K15" s="100">
        <v>37</v>
      </c>
      <c r="L15" s="100">
        <v>23</v>
      </c>
      <c r="M15" s="101">
        <v>25.391249999999999</v>
      </c>
      <c r="N15" s="107">
        <v>26</v>
      </c>
      <c r="O15" s="64">
        <v>7000</v>
      </c>
      <c r="P15" s="65">
        <f>Table22457891011234567891011121314151617181920212223242526[[#This Row],[PEMBULATAN]]*O15</f>
        <v>182000</v>
      </c>
    </row>
    <row r="16" spans="1:16" ht="26.25" customHeight="1" x14ac:dyDescent="0.2">
      <c r="A16" s="14"/>
      <c r="B16" s="74"/>
      <c r="C16" s="95" t="s">
        <v>541</v>
      </c>
      <c r="D16" s="96" t="s">
        <v>83</v>
      </c>
      <c r="E16" s="97">
        <v>44485</v>
      </c>
      <c r="F16" s="98" t="s">
        <v>84</v>
      </c>
      <c r="G16" s="97" t="s">
        <v>466</v>
      </c>
      <c r="H16" s="99" t="s">
        <v>467</v>
      </c>
      <c r="I16" s="100">
        <v>37</v>
      </c>
      <c r="J16" s="100">
        <v>30</v>
      </c>
      <c r="K16" s="100">
        <v>15</v>
      </c>
      <c r="L16" s="100">
        <v>10</v>
      </c>
      <c r="M16" s="101">
        <v>4.1624999999999996</v>
      </c>
      <c r="N16" s="107">
        <v>10</v>
      </c>
      <c r="O16" s="64">
        <v>7000</v>
      </c>
      <c r="P16" s="65">
        <f>Table22457891011234567891011121314151617181920212223242526[[#This Row],[PEMBULATAN]]*O16</f>
        <v>70000</v>
      </c>
    </row>
    <row r="17" spans="1:16" ht="26.25" customHeight="1" x14ac:dyDescent="0.2">
      <c r="A17" s="14"/>
      <c r="B17" s="74"/>
      <c r="C17" s="95" t="s">
        <v>542</v>
      </c>
      <c r="D17" s="96" t="s">
        <v>83</v>
      </c>
      <c r="E17" s="97">
        <v>44485</v>
      </c>
      <c r="F17" s="98" t="s">
        <v>84</v>
      </c>
      <c r="G17" s="97" t="s">
        <v>466</v>
      </c>
      <c r="H17" s="99" t="s">
        <v>467</v>
      </c>
      <c r="I17" s="100">
        <v>35</v>
      </c>
      <c r="J17" s="100">
        <v>25</v>
      </c>
      <c r="K17" s="100">
        <v>15</v>
      </c>
      <c r="L17" s="100">
        <v>7</v>
      </c>
      <c r="M17" s="101">
        <v>3.28125</v>
      </c>
      <c r="N17" s="107">
        <v>7</v>
      </c>
      <c r="O17" s="64">
        <v>7000</v>
      </c>
      <c r="P17" s="65">
        <f>Table22457891011234567891011121314151617181920212223242526[[#This Row],[PEMBULATAN]]*O17</f>
        <v>49000</v>
      </c>
    </row>
    <row r="18" spans="1:16" ht="26.25" customHeight="1" x14ac:dyDescent="0.2">
      <c r="A18" s="14"/>
      <c r="B18" s="74"/>
      <c r="C18" s="95" t="s">
        <v>543</v>
      </c>
      <c r="D18" s="96" t="s">
        <v>83</v>
      </c>
      <c r="E18" s="97">
        <v>44485</v>
      </c>
      <c r="F18" s="98" t="s">
        <v>84</v>
      </c>
      <c r="G18" s="97" t="s">
        <v>466</v>
      </c>
      <c r="H18" s="99" t="s">
        <v>467</v>
      </c>
      <c r="I18" s="100">
        <v>58</v>
      </c>
      <c r="J18" s="100">
        <v>44</v>
      </c>
      <c r="K18" s="100">
        <v>38</v>
      </c>
      <c r="L18" s="100">
        <v>13</v>
      </c>
      <c r="M18" s="101">
        <v>24.244</v>
      </c>
      <c r="N18" s="107">
        <v>24.244</v>
      </c>
      <c r="O18" s="64">
        <v>7000</v>
      </c>
      <c r="P18" s="65">
        <f>Table22457891011234567891011121314151617181920212223242526[[#This Row],[PEMBULATAN]]*O18</f>
        <v>169708</v>
      </c>
    </row>
    <row r="19" spans="1:16" ht="26.25" customHeight="1" x14ac:dyDescent="0.2">
      <c r="A19" s="14"/>
      <c r="B19" s="74"/>
      <c r="C19" s="95" t="s">
        <v>544</v>
      </c>
      <c r="D19" s="96" t="s">
        <v>83</v>
      </c>
      <c r="E19" s="97">
        <v>44485</v>
      </c>
      <c r="F19" s="98" t="s">
        <v>84</v>
      </c>
      <c r="G19" s="97" t="s">
        <v>466</v>
      </c>
      <c r="H19" s="99" t="s">
        <v>467</v>
      </c>
      <c r="I19" s="100">
        <v>51</v>
      </c>
      <c r="J19" s="100">
        <v>51</v>
      </c>
      <c r="K19" s="100">
        <v>26</v>
      </c>
      <c r="L19" s="100">
        <v>33</v>
      </c>
      <c r="M19" s="101">
        <v>16.906500000000001</v>
      </c>
      <c r="N19" s="107">
        <v>33</v>
      </c>
      <c r="O19" s="64">
        <v>7000</v>
      </c>
      <c r="P19" s="65">
        <f>Table22457891011234567891011121314151617181920212223242526[[#This Row],[PEMBULATAN]]*O19</f>
        <v>231000</v>
      </c>
    </row>
    <row r="20" spans="1:16" ht="26.25" customHeight="1" x14ac:dyDescent="0.2">
      <c r="A20" s="14"/>
      <c r="B20" s="74"/>
      <c r="C20" s="95" t="s">
        <v>545</v>
      </c>
      <c r="D20" s="96" t="s">
        <v>83</v>
      </c>
      <c r="E20" s="97">
        <v>44485</v>
      </c>
      <c r="F20" s="98" t="s">
        <v>84</v>
      </c>
      <c r="G20" s="97" t="s">
        <v>466</v>
      </c>
      <c r="H20" s="99" t="s">
        <v>467</v>
      </c>
      <c r="I20" s="100">
        <v>48</v>
      </c>
      <c r="J20" s="100">
        <v>48</v>
      </c>
      <c r="K20" s="100">
        <v>27</v>
      </c>
      <c r="L20" s="100">
        <v>9</v>
      </c>
      <c r="M20" s="101">
        <v>15.552</v>
      </c>
      <c r="N20" s="107">
        <v>15.552</v>
      </c>
      <c r="O20" s="64">
        <v>7000</v>
      </c>
      <c r="P20" s="65">
        <f>Table22457891011234567891011121314151617181920212223242526[[#This Row],[PEMBULATAN]]*O20</f>
        <v>108864</v>
      </c>
    </row>
    <row r="21" spans="1:16" ht="26.25" customHeight="1" x14ac:dyDescent="0.2">
      <c r="A21" s="14"/>
      <c r="B21" s="74"/>
      <c r="C21" s="95" t="s">
        <v>546</v>
      </c>
      <c r="D21" s="96" t="s">
        <v>83</v>
      </c>
      <c r="E21" s="97">
        <v>44485</v>
      </c>
      <c r="F21" s="98" t="s">
        <v>84</v>
      </c>
      <c r="G21" s="97" t="s">
        <v>466</v>
      </c>
      <c r="H21" s="99" t="s">
        <v>467</v>
      </c>
      <c r="I21" s="100">
        <v>60</v>
      </c>
      <c r="J21" s="100">
        <v>31</v>
      </c>
      <c r="K21" s="100">
        <v>26</v>
      </c>
      <c r="L21" s="100">
        <v>6</v>
      </c>
      <c r="M21" s="101">
        <v>12.09</v>
      </c>
      <c r="N21" s="107">
        <v>12.09</v>
      </c>
      <c r="O21" s="64">
        <v>7000</v>
      </c>
      <c r="P21" s="65">
        <f>Table22457891011234567891011121314151617181920212223242526[[#This Row],[PEMBULATAN]]*O21</f>
        <v>84630</v>
      </c>
    </row>
    <row r="22" spans="1:16" ht="26.25" customHeight="1" x14ac:dyDescent="0.2">
      <c r="A22" s="14"/>
      <c r="B22" s="74"/>
      <c r="C22" s="95" t="s">
        <v>547</v>
      </c>
      <c r="D22" s="96" t="s">
        <v>83</v>
      </c>
      <c r="E22" s="97">
        <v>44485</v>
      </c>
      <c r="F22" s="98" t="s">
        <v>84</v>
      </c>
      <c r="G22" s="97" t="s">
        <v>466</v>
      </c>
      <c r="H22" s="99" t="s">
        <v>467</v>
      </c>
      <c r="I22" s="100">
        <v>48</v>
      </c>
      <c r="J22" s="100">
        <v>43</v>
      </c>
      <c r="K22" s="100">
        <v>31</v>
      </c>
      <c r="L22" s="100">
        <v>6</v>
      </c>
      <c r="M22" s="101">
        <v>15.996</v>
      </c>
      <c r="N22" s="107">
        <v>15.996</v>
      </c>
      <c r="O22" s="64">
        <v>7000</v>
      </c>
      <c r="P22" s="65">
        <f>Table22457891011234567891011121314151617181920212223242526[[#This Row],[PEMBULATAN]]*O22</f>
        <v>111972</v>
      </c>
    </row>
    <row r="23" spans="1:16" ht="26.25" customHeight="1" x14ac:dyDescent="0.2">
      <c r="A23" s="14"/>
      <c r="B23" s="74"/>
      <c r="C23" s="95" t="s">
        <v>548</v>
      </c>
      <c r="D23" s="96" t="s">
        <v>83</v>
      </c>
      <c r="E23" s="97">
        <v>44485</v>
      </c>
      <c r="F23" s="98" t="s">
        <v>84</v>
      </c>
      <c r="G23" s="97" t="s">
        <v>466</v>
      </c>
      <c r="H23" s="99" t="s">
        <v>467</v>
      </c>
      <c r="I23" s="100">
        <v>72</v>
      </c>
      <c r="J23" s="100">
        <v>36</v>
      </c>
      <c r="K23" s="100">
        <v>55</v>
      </c>
      <c r="L23" s="100">
        <v>8</v>
      </c>
      <c r="M23" s="101">
        <v>35.64</v>
      </c>
      <c r="N23" s="107">
        <v>35.64</v>
      </c>
      <c r="O23" s="64">
        <v>7000</v>
      </c>
      <c r="P23" s="65">
        <f>Table22457891011234567891011121314151617181920212223242526[[#This Row],[PEMBULATAN]]*O23</f>
        <v>249480</v>
      </c>
    </row>
    <row r="24" spans="1:16" ht="26.25" customHeight="1" x14ac:dyDescent="0.2">
      <c r="A24" s="14"/>
      <c r="B24" s="74"/>
      <c r="C24" s="95" t="s">
        <v>549</v>
      </c>
      <c r="D24" s="96" t="s">
        <v>83</v>
      </c>
      <c r="E24" s="97">
        <v>44485</v>
      </c>
      <c r="F24" s="98" t="s">
        <v>84</v>
      </c>
      <c r="G24" s="97" t="s">
        <v>466</v>
      </c>
      <c r="H24" s="99" t="s">
        <v>467</v>
      </c>
      <c r="I24" s="100">
        <v>51</v>
      </c>
      <c r="J24" s="100">
        <v>36</v>
      </c>
      <c r="K24" s="100">
        <v>28</v>
      </c>
      <c r="L24" s="100">
        <v>9</v>
      </c>
      <c r="M24" s="101">
        <v>12.852</v>
      </c>
      <c r="N24" s="107">
        <v>12.852</v>
      </c>
      <c r="O24" s="64">
        <v>7000</v>
      </c>
      <c r="P24" s="65">
        <f>Table22457891011234567891011121314151617181920212223242526[[#This Row],[PEMBULATAN]]*O24</f>
        <v>89964</v>
      </c>
    </row>
    <row r="25" spans="1:16" ht="26.25" customHeight="1" x14ac:dyDescent="0.2">
      <c r="A25" s="14"/>
      <c r="B25" s="74"/>
      <c r="C25" s="95" t="s">
        <v>550</v>
      </c>
      <c r="D25" s="96" t="s">
        <v>83</v>
      </c>
      <c r="E25" s="97">
        <v>44485</v>
      </c>
      <c r="F25" s="98" t="s">
        <v>84</v>
      </c>
      <c r="G25" s="97" t="s">
        <v>466</v>
      </c>
      <c r="H25" s="99" t="s">
        <v>467</v>
      </c>
      <c r="I25" s="100">
        <v>48</v>
      </c>
      <c r="J25" s="100">
        <v>36</v>
      </c>
      <c r="K25" s="100">
        <v>28</v>
      </c>
      <c r="L25" s="100">
        <v>17</v>
      </c>
      <c r="M25" s="101">
        <v>12.096</v>
      </c>
      <c r="N25" s="107">
        <v>17</v>
      </c>
      <c r="O25" s="64">
        <v>7000</v>
      </c>
      <c r="P25" s="65">
        <f>Table22457891011234567891011121314151617181920212223242526[[#This Row],[PEMBULATAN]]*O25</f>
        <v>119000</v>
      </c>
    </row>
    <row r="26" spans="1:16" ht="26.25" customHeight="1" x14ac:dyDescent="0.2">
      <c r="A26" s="14"/>
      <c r="B26" s="74"/>
      <c r="C26" s="95" t="s">
        <v>551</v>
      </c>
      <c r="D26" s="96" t="s">
        <v>83</v>
      </c>
      <c r="E26" s="97">
        <v>44485</v>
      </c>
      <c r="F26" s="98" t="s">
        <v>84</v>
      </c>
      <c r="G26" s="97" t="s">
        <v>466</v>
      </c>
      <c r="H26" s="99" t="s">
        <v>467</v>
      </c>
      <c r="I26" s="100">
        <v>81</v>
      </c>
      <c r="J26" s="100">
        <v>52</v>
      </c>
      <c r="K26" s="100">
        <v>28</v>
      </c>
      <c r="L26" s="100">
        <v>24</v>
      </c>
      <c r="M26" s="101">
        <v>29.484000000000002</v>
      </c>
      <c r="N26" s="107">
        <v>30</v>
      </c>
      <c r="O26" s="64">
        <v>7000</v>
      </c>
      <c r="P26" s="65">
        <f>Table22457891011234567891011121314151617181920212223242526[[#This Row],[PEMBULATAN]]*O26</f>
        <v>210000</v>
      </c>
    </row>
    <row r="27" spans="1:16" ht="26.25" customHeight="1" x14ac:dyDescent="0.2">
      <c r="A27" s="14"/>
      <c r="B27" s="74"/>
      <c r="C27" s="95" t="s">
        <v>552</v>
      </c>
      <c r="D27" s="96" t="s">
        <v>83</v>
      </c>
      <c r="E27" s="97">
        <v>44485</v>
      </c>
      <c r="F27" s="98" t="s">
        <v>84</v>
      </c>
      <c r="G27" s="97" t="s">
        <v>466</v>
      </c>
      <c r="H27" s="99" t="s">
        <v>467</v>
      </c>
      <c r="I27" s="100">
        <v>51</v>
      </c>
      <c r="J27" s="100">
        <v>50</v>
      </c>
      <c r="K27" s="100">
        <v>48</v>
      </c>
      <c r="L27" s="100">
        <v>13</v>
      </c>
      <c r="M27" s="101">
        <v>30.6</v>
      </c>
      <c r="N27" s="107">
        <v>30.6</v>
      </c>
      <c r="O27" s="64">
        <v>7000</v>
      </c>
      <c r="P27" s="65">
        <f>Table22457891011234567891011121314151617181920212223242526[[#This Row],[PEMBULATAN]]*O27</f>
        <v>214200</v>
      </c>
    </row>
    <row r="28" spans="1:16" ht="26.25" customHeight="1" x14ac:dyDescent="0.2">
      <c r="A28" s="14"/>
      <c r="B28" s="74"/>
      <c r="C28" s="95" t="s">
        <v>553</v>
      </c>
      <c r="D28" s="96" t="s">
        <v>83</v>
      </c>
      <c r="E28" s="97">
        <v>44485</v>
      </c>
      <c r="F28" s="98" t="s">
        <v>84</v>
      </c>
      <c r="G28" s="97" t="s">
        <v>466</v>
      </c>
      <c r="H28" s="99" t="s">
        <v>467</v>
      </c>
      <c r="I28" s="100">
        <v>44</v>
      </c>
      <c r="J28" s="100">
        <v>16</v>
      </c>
      <c r="K28" s="100">
        <v>16</v>
      </c>
      <c r="L28" s="100">
        <v>7</v>
      </c>
      <c r="M28" s="101">
        <v>2.8159999999999998</v>
      </c>
      <c r="N28" s="107">
        <v>7</v>
      </c>
      <c r="O28" s="64">
        <v>7000</v>
      </c>
      <c r="P28" s="65">
        <f>Table22457891011234567891011121314151617181920212223242526[[#This Row],[PEMBULATAN]]*O28</f>
        <v>49000</v>
      </c>
    </row>
    <row r="29" spans="1:16" ht="26.25" customHeight="1" x14ac:dyDescent="0.2">
      <c r="A29" s="14"/>
      <c r="B29" s="74"/>
      <c r="C29" s="95" t="s">
        <v>554</v>
      </c>
      <c r="D29" s="96" t="s">
        <v>83</v>
      </c>
      <c r="E29" s="97">
        <v>44485</v>
      </c>
      <c r="F29" s="98" t="s">
        <v>84</v>
      </c>
      <c r="G29" s="97" t="s">
        <v>466</v>
      </c>
      <c r="H29" s="99" t="s">
        <v>467</v>
      </c>
      <c r="I29" s="100">
        <v>65</v>
      </c>
      <c r="J29" s="100">
        <v>58</v>
      </c>
      <c r="K29" s="100">
        <v>38</v>
      </c>
      <c r="L29" s="100">
        <v>24</v>
      </c>
      <c r="M29" s="101">
        <v>35.814999999999998</v>
      </c>
      <c r="N29" s="107">
        <v>35.814999999999998</v>
      </c>
      <c r="O29" s="64">
        <v>7000</v>
      </c>
      <c r="P29" s="65">
        <f>Table22457891011234567891011121314151617181920212223242526[[#This Row],[PEMBULATAN]]*O29</f>
        <v>250704.99999999997</v>
      </c>
    </row>
    <row r="30" spans="1:16" ht="22.5" customHeight="1" x14ac:dyDescent="0.2">
      <c r="A30" s="143" t="s">
        <v>30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5"/>
      <c r="M30" s="78">
        <f>SUBTOTAL(109,Table22457891011234567891011121314151617181920212223242526[KG VOLUME])</f>
        <v>399.75499999999994</v>
      </c>
      <c r="N30" s="68">
        <f>SUM(N3:N29)</f>
        <v>476.24549999999999</v>
      </c>
      <c r="O30" s="146">
        <f>SUM(P3:P29)</f>
        <v>3333718.5</v>
      </c>
      <c r="P30" s="147"/>
    </row>
    <row r="31" spans="1:16" ht="18" customHeight="1" x14ac:dyDescent="0.2">
      <c r="A31" s="85"/>
      <c r="B31" s="56" t="s">
        <v>42</v>
      </c>
      <c r="C31" s="55"/>
      <c r="D31" s="57" t="s">
        <v>43</v>
      </c>
      <c r="E31" s="85"/>
      <c r="F31" s="85"/>
      <c r="G31" s="85"/>
      <c r="H31" s="85"/>
      <c r="I31" s="85"/>
      <c r="J31" s="85"/>
      <c r="K31" s="85"/>
      <c r="L31" s="85"/>
      <c r="M31" s="86"/>
      <c r="N31" s="87" t="s">
        <v>52</v>
      </c>
      <c r="O31" s="88"/>
      <c r="P31" s="88">
        <v>0</v>
      </c>
    </row>
    <row r="32" spans="1:16" ht="18" customHeight="1" thickBot="1" x14ac:dyDescent="0.25">
      <c r="A32" s="85"/>
      <c r="B32" s="56"/>
      <c r="C32" s="55"/>
      <c r="D32" s="57"/>
      <c r="E32" s="85"/>
      <c r="F32" s="85"/>
      <c r="G32" s="85"/>
      <c r="H32" s="85"/>
      <c r="I32" s="85"/>
      <c r="J32" s="85"/>
      <c r="K32" s="85"/>
      <c r="L32" s="85"/>
      <c r="M32" s="86"/>
      <c r="N32" s="89" t="s">
        <v>53</v>
      </c>
      <c r="O32" s="90"/>
      <c r="P32" s="90">
        <f>O30-P31</f>
        <v>3333718.5</v>
      </c>
    </row>
    <row r="33" spans="1:16" ht="18" customHeight="1" x14ac:dyDescent="0.2">
      <c r="A33" s="11"/>
      <c r="H33" s="63"/>
      <c r="N33" s="62" t="s">
        <v>31</v>
      </c>
      <c r="P33" s="69">
        <f>P32*1%</f>
        <v>33337.184999999998</v>
      </c>
    </row>
    <row r="34" spans="1:16" ht="18" customHeight="1" thickBot="1" x14ac:dyDescent="0.25">
      <c r="A34" s="11"/>
      <c r="H34" s="63"/>
      <c r="N34" s="62" t="s">
        <v>54</v>
      </c>
      <c r="P34" s="71">
        <f>P32*2%</f>
        <v>66674.37</v>
      </c>
    </row>
    <row r="35" spans="1:16" ht="18" customHeight="1" x14ac:dyDescent="0.2">
      <c r="A35" s="11"/>
      <c r="H35" s="63"/>
      <c r="N35" s="66" t="s">
        <v>32</v>
      </c>
      <c r="O35" s="67"/>
      <c r="P35" s="70">
        <f>P32+P33-P34</f>
        <v>3300381.3149999999</v>
      </c>
    </row>
    <row r="37" spans="1:16" x14ac:dyDescent="0.2">
      <c r="A37" s="11"/>
      <c r="H37" s="63"/>
      <c r="P37" s="71"/>
    </row>
    <row r="38" spans="1:16" x14ac:dyDescent="0.2">
      <c r="A38" s="11"/>
      <c r="H38" s="63"/>
      <c r="O38" s="58"/>
      <c r="P38" s="71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</sheetData>
  <mergeCells count="2">
    <mergeCell ref="A30:L30"/>
    <mergeCell ref="O30:P30"/>
  </mergeCells>
  <conditionalFormatting sqref="B3">
    <cfRule type="duplicateValues" dxfId="507" priority="2"/>
  </conditionalFormatting>
  <conditionalFormatting sqref="B4:B29">
    <cfRule type="duplicateValues" dxfId="506" priority="5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5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402236</v>
      </c>
      <c r="B3" s="73" t="s">
        <v>555</v>
      </c>
      <c r="C3" s="9" t="s">
        <v>556</v>
      </c>
      <c r="D3" s="75" t="s">
        <v>83</v>
      </c>
      <c r="E3" s="13">
        <v>44486</v>
      </c>
      <c r="F3" s="75" t="s">
        <v>84</v>
      </c>
      <c r="G3" s="13" t="s">
        <v>466</v>
      </c>
      <c r="H3" s="10" t="s">
        <v>467</v>
      </c>
      <c r="I3" s="1">
        <v>225</v>
      </c>
      <c r="J3" s="1">
        <v>10</v>
      </c>
      <c r="K3" s="1">
        <v>10</v>
      </c>
      <c r="L3" s="1">
        <v>6</v>
      </c>
      <c r="M3" s="79">
        <v>5.625</v>
      </c>
      <c r="N3" s="8">
        <v>6</v>
      </c>
      <c r="O3" s="64">
        <v>7000</v>
      </c>
      <c r="P3" s="65">
        <f>Table2245789101123456789101112131415161718192021222324252627[[#This Row],[PEMBULATAN]]*O3</f>
        <v>42000</v>
      </c>
    </row>
    <row r="4" spans="1:16" ht="26.25" customHeight="1" x14ac:dyDescent="0.2">
      <c r="A4" s="14"/>
      <c r="B4" s="74"/>
      <c r="C4" s="9" t="s">
        <v>557</v>
      </c>
      <c r="D4" s="75" t="s">
        <v>83</v>
      </c>
      <c r="E4" s="13">
        <v>44486</v>
      </c>
      <c r="F4" s="75" t="s">
        <v>84</v>
      </c>
      <c r="G4" s="13" t="s">
        <v>466</v>
      </c>
      <c r="H4" s="10" t="s">
        <v>467</v>
      </c>
      <c r="I4" s="1">
        <v>31</v>
      </c>
      <c r="J4" s="1">
        <v>45</v>
      </c>
      <c r="K4" s="1">
        <v>30</v>
      </c>
      <c r="L4" s="1">
        <v>10</v>
      </c>
      <c r="M4" s="79">
        <v>10.4625</v>
      </c>
      <c r="N4" s="8">
        <v>11</v>
      </c>
      <c r="O4" s="64">
        <v>7000</v>
      </c>
      <c r="P4" s="65">
        <f>Table2245789101123456789101112131415161718192021222324252627[[#This Row],[PEMBULATAN]]*O4</f>
        <v>77000</v>
      </c>
    </row>
    <row r="5" spans="1:16" ht="26.25" customHeight="1" x14ac:dyDescent="0.2">
      <c r="A5" s="14"/>
      <c r="B5" s="74"/>
      <c r="C5" s="95" t="s">
        <v>558</v>
      </c>
      <c r="D5" s="96" t="s">
        <v>83</v>
      </c>
      <c r="E5" s="97">
        <v>44486</v>
      </c>
      <c r="F5" s="98" t="s">
        <v>84</v>
      </c>
      <c r="G5" s="97" t="s">
        <v>466</v>
      </c>
      <c r="H5" s="99" t="s">
        <v>467</v>
      </c>
      <c r="I5" s="100">
        <v>40</v>
      </c>
      <c r="J5" s="100">
        <v>30</v>
      </c>
      <c r="K5" s="100">
        <v>23</v>
      </c>
      <c r="L5" s="100">
        <v>5</v>
      </c>
      <c r="M5" s="101">
        <v>6.9</v>
      </c>
      <c r="N5" s="102">
        <v>6.9</v>
      </c>
      <c r="O5" s="64">
        <v>7000</v>
      </c>
      <c r="P5" s="65">
        <f>Table2245789101123456789101112131415161718192021222324252627[[#This Row],[PEMBULATAN]]*O5</f>
        <v>48300</v>
      </c>
    </row>
    <row r="6" spans="1:16" ht="26.25" customHeight="1" x14ac:dyDescent="0.2">
      <c r="A6" s="14"/>
      <c r="B6" s="74"/>
      <c r="C6" s="95" t="s">
        <v>559</v>
      </c>
      <c r="D6" s="96" t="s">
        <v>83</v>
      </c>
      <c r="E6" s="97">
        <v>44486</v>
      </c>
      <c r="F6" s="98" t="s">
        <v>84</v>
      </c>
      <c r="G6" s="97" t="s">
        <v>466</v>
      </c>
      <c r="H6" s="99" t="s">
        <v>467</v>
      </c>
      <c r="I6" s="100">
        <v>70</v>
      </c>
      <c r="J6" s="100">
        <v>40</v>
      </c>
      <c r="K6" s="100">
        <v>20</v>
      </c>
      <c r="L6" s="100">
        <v>13</v>
      </c>
      <c r="M6" s="101">
        <v>14</v>
      </c>
      <c r="N6" s="102">
        <v>14</v>
      </c>
      <c r="O6" s="64">
        <v>7000</v>
      </c>
      <c r="P6" s="65">
        <f>Table2245789101123456789101112131415161718192021222324252627[[#This Row],[PEMBULATAN]]*O6</f>
        <v>98000</v>
      </c>
    </row>
    <row r="7" spans="1:16" ht="26.25" customHeight="1" x14ac:dyDescent="0.2">
      <c r="A7" s="14"/>
      <c r="B7" s="74"/>
      <c r="C7" s="95" t="s">
        <v>560</v>
      </c>
      <c r="D7" s="96" t="s">
        <v>83</v>
      </c>
      <c r="E7" s="97">
        <v>44486</v>
      </c>
      <c r="F7" s="98" t="s">
        <v>84</v>
      </c>
      <c r="G7" s="97" t="s">
        <v>466</v>
      </c>
      <c r="H7" s="99" t="s">
        <v>467</v>
      </c>
      <c r="I7" s="100">
        <v>54</v>
      </c>
      <c r="J7" s="100">
        <v>33</v>
      </c>
      <c r="K7" s="100">
        <v>28</v>
      </c>
      <c r="L7" s="100">
        <v>7</v>
      </c>
      <c r="M7" s="101">
        <v>12.474</v>
      </c>
      <c r="N7" s="102">
        <v>13</v>
      </c>
      <c r="O7" s="64">
        <v>7000</v>
      </c>
      <c r="P7" s="65">
        <f>Table2245789101123456789101112131415161718192021222324252627[[#This Row],[PEMBULATAN]]*O7</f>
        <v>91000</v>
      </c>
    </row>
    <row r="8" spans="1:16" ht="26.25" customHeight="1" x14ac:dyDescent="0.2">
      <c r="A8" s="14"/>
      <c r="B8" s="74"/>
      <c r="C8" s="95" t="s">
        <v>561</v>
      </c>
      <c r="D8" s="96" t="s">
        <v>83</v>
      </c>
      <c r="E8" s="97">
        <v>44486</v>
      </c>
      <c r="F8" s="98" t="s">
        <v>84</v>
      </c>
      <c r="G8" s="97" t="s">
        <v>466</v>
      </c>
      <c r="H8" s="99" t="s">
        <v>467</v>
      </c>
      <c r="I8" s="100">
        <v>40</v>
      </c>
      <c r="J8" s="100">
        <v>60</v>
      </c>
      <c r="K8" s="100">
        <v>20</v>
      </c>
      <c r="L8" s="100">
        <v>10</v>
      </c>
      <c r="M8" s="101">
        <v>12</v>
      </c>
      <c r="N8" s="102">
        <v>12</v>
      </c>
      <c r="O8" s="64">
        <v>7000</v>
      </c>
      <c r="P8" s="65">
        <f>Table2245789101123456789101112131415161718192021222324252627[[#This Row],[PEMBULATAN]]*O8</f>
        <v>84000</v>
      </c>
    </row>
    <row r="9" spans="1:16" ht="26.25" customHeight="1" x14ac:dyDescent="0.2">
      <c r="A9" s="14"/>
      <c r="B9" s="74"/>
      <c r="C9" s="95" t="s">
        <v>562</v>
      </c>
      <c r="D9" s="96" t="s">
        <v>83</v>
      </c>
      <c r="E9" s="97">
        <v>44486</v>
      </c>
      <c r="F9" s="98" t="s">
        <v>84</v>
      </c>
      <c r="G9" s="97" t="s">
        <v>466</v>
      </c>
      <c r="H9" s="99" t="s">
        <v>467</v>
      </c>
      <c r="I9" s="100">
        <v>40</v>
      </c>
      <c r="J9" s="100">
        <v>33</v>
      </c>
      <c r="K9" s="100">
        <v>18</v>
      </c>
      <c r="L9" s="100">
        <v>8</v>
      </c>
      <c r="M9" s="101">
        <v>5.94</v>
      </c>
      <c r="N9" s="102">
        <v>8</v>
      </c>
      <c r="O9" s="64">
        <v>7000</v>
      </c>
      <c r="P9" s="65">
        <f>Table2245789101123456789101112131415161718192021222324252627[[#This Row],[PEMBULATAN]]*O9</f>
        <v>56000</v>
      </c>
    </row>
    <row r="10" spans="1:16" ht="26.25" customHeight="1" x14ac:dyDescent="0.2">
      <c r="A10" s="14"/>
      <c r="B10" s="109" t="s">
        <v>563</v>
      </c>
      <c r="C10" s="9" t="s">
        <v>564</v>
      </c>
      <c r="D10" s="75" t="s">
        <v>83</v>
      </c>
      <c r="E10" s="13">
        <v>44486</v>
      </c>
      <c r="F10" s="75" t="s">
        <v>84</v>
      </c>
      <c r="G10" s="13" t="s">
        <v>466</v>
      </c>
      <c r="H10" s="10" t="s">
        <v>467</v>
      </c>
      <c r="I10" s="1">
        <v>70</v>
      </c>
      <c r="J10" s="1">
        <v>50</v>
      </c>
      <c r="K10" s="1">
        <v>28</v>
      </c>
      <c r="L10" s="1">
        <v>8</v>
      </c>
      <c r="M10" s="79">
        <v>24.5</v>
      </c>
      <c r="N10" s="103">
        <v>24.5</v>
      </c>
      <c r="O10" s="64">
        <v>7000</v>
      </c>
      <c r="P10" s="65">
        <f>N10*O10</f>
        <v>171500</v>
      </c>
    </row>
    <row r="11" spans="1:16" ht="26.25" customHeight="1" x14ac:dyDescent="0.2">
      <c r="A11" s="14"/>
      <c r="B11" s="74" t="s">
        <v>565</v>
      </c>
      <c r="C11" s="9" t="s">
        <v>566</v>
      </c>
      <c r="D11" s="75" t="s">
        <v>83</v>
      </c>
      <c r="E11" s="13">
        <v>44486</v>
      </c>
      <c r="F11" s="75" t="s">
        <v>84</v>
      </c>
      <c r="G11" s="13" t="s">
        <v>466</v>
      </c>
      <c r="H11" s="10" t="s">
        <v>467</v>
      </c>
      <c r="I11" s="1">
        <v>42</v>
      </c>
      <c r="J11" s="1">
        <v>38</v>
      </c>
      <c r="K11" s="1">
        <v>28</v>
      </c>
      <c r="L11" s="1">
        <v>12</v>
      </c>
      <c r="M11" s="79">
        <v>11.172000000000001</v>
      </c>
      <c r="N11" s="103">
        <v>12</v>
      </c>
      <c r="O11" s="64">
        <v>7000</v>
      </c>
      <c r="P11" s="65">
        <f>N11*O11</f>
        <v>84000</v>
      </c>
    </row>
    <row r="12" spans="1:16" ht="22.5" customHeight="1" x14ac:dyDescent="0.2">
      <c r="A12" s="143" t="s">
        <v>30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5"/>
      <c r="M12" s="78">
        <f>SUBTOTAL(109,Table2245789101123456789101112131415161718192021222324252627[KG VOLUME])</f>
        <v>67.401499999999999</v>
      </c>
      <c r="N12" s="68">
        <f>SUM(N3:N11)</f>
        <v>107.4</v>
      </c>
      <c r="O12" s="146">
        <f>SUM(P3:P11)</f>
        <v>751800</v>
      </c>
      <c r="P12" s="147"/>
    </row>
    <row r="13" spans="1:16" ht="18" customHeight="1" x14ac:dyDescent="0.2">
      <c r="A13" s="85"/>
      <c r="B13" s="56" t="s">
        <v>42</v>
      </c>
      <c r="C13" s="55"/>
      <c r="D13" s="57" t="s">
        <v>43</v>
      </c>
      <c r="E13" s="85"/>
      <c r="F13" s="85"/>
      <c r="G13" s="85"/>
      <c r="H13" s="85"/>
      <c r="I13" s="85"/>
      <c r="J13" s="85"/>
      <c r="K13" s="85"/>
      <c r="L13" s="85"/>
      <c r="M13" s="86"/>
      <c r="N13" s="87" t="s">
        <v>52</v>
      </c>
      <c r="O13" s="88"/>
      <c r="P13" s="88">
        <v>0</v>
      </c>
    </row>
    <row r="14" spans="1:16" ht="18" customHeight="1" thickBot="1" x14ac:dyDescent="0.25">
      <c r="A14" s="85"/>
      <c r="B14" s="56"/>
      <c r="C14" s="55"/>
      <c r="D14" s="57"/>
      <c r="E14" s="85"/>
      <c r="F14" s="85"/>
      <c r="G14" s="85"/>
      <c r="H14" s="85"/>
      <c r="I14" s="85"/>
      <c r="J14" s="85"/>
      <c r="K14" s="85"/>
      <c r="L14" s="85"/>
      <c r="M14" s="86"/>
      <c r="N14" s="89" t="s">
        <v>53</v>
      </c>
      <c r="O14" s="90"/>
      <c r="P14" s="90">
        <f>O12-P13</f>
        <v>751800</v>
      </c>
    </row>
    <row r="15" spans="1:16" ht="18" customHeight="1" x14ac:dyDescent="0.2">
      <c r="A15" s="11"/>
      <c r="H15" s="63"/>
      <c r="N15" s="62" t="s">
        <v>31</v>
      </c>
      <c r="P15" s="69">
        <f>P14*1%</f>
        <v>7518</v>
      </c>
    </row>
    <row r="16" spans="1:16" ht="18" customHeight="1" thickBot="1" x14ac:dyDescent="0.25">
      <c r="A16" s="11"/>
      <c r="H16" s="63"/>
      <c r="N16" s="62" t="s">
        <v>54</v>
      </c>
      <c r="P16" s="71">
        <f>P14*2%</f>
        <v>15036</v>
      </c>
    </row>
    <row r="17" spans="1:16" ht="18" customHeight="1" x14ac:dyDescent="0.2">
      <c r="A17" s="11"/>
      <c r="H17" s="63"/>
      <c r="N17" s="66" t="s">
        <v>32</v>
      </c>
      <c r="O17" s="67"/>
      <c r="P17" s="70">
        <f>P14+P15-P16</f>
        <v>744282</v>
      </c>
    </row>
    <row r="19" spans="1:16" x14ac:dyDescent="0.2">
      <c r="A19" s="11"/>
      <c r="H19" s="63"/>
      <c r="P19" s="71"/>
    </row>
    <row r="20" spans="1:16" x14ac:dyDescent="0.2">
      <c r="A20" s="11"/>
      <c r="H20" s="63"/>
      <c r="O20" s="58"/>
      <c r="P20" s="71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</sheetData>
  <mergeCells count="2">
    <mergeCell ref="A12:L12"/>
    <mergeCell ref="O12:P12"/>
  </mergeCells>
  <conditionalFormatting sqref="B3">
    <cfRule type="duplicateValues" dxfId="490" priority="4"/>
  </conditionalFormatting>
  <conditionalFormatting sqref="B4:B9">
    <cfRule type="duplicateValues" dxfId="489" priority="57"/>
  </conditionalFormatting>
  <conditionalFormatting sqref="B10">
    <cfRule type="duplicateValues" dxfId="488" priority="1"/>
  </conditionalFormatting>
  <conditionalFormatting sqref="B11">
    <cfRule type="duplicateValues" dxfId="487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5" activePane="bottomRight" state="frozen"/>
      <selection pane="topRight" activeCell="B1" sqref="B1"/>
      <selection pane="bottomLeft" activeCell="A3" sqref="A3"/>
      <selection pane="bottomRight" activeCell="O13" sqref="O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402238</v>
      </c>
      <c r="B3" s="73" t="s">
        <v>567</v>
      </c>
      <c r="C3" s="9" t="s">
        <v>568</v>
      </c>
      <c r="D3" s="75" t="s">
        <v>83</v>
      </c>
      <c r="E3" s="13">
        <v>44487</v>
      </c>
      <c r="F3" s="75" t="s">
        <v>84</v>
      </c>
      <c r="G3" s="13" t="s">
        <v>466</v>
      </c>
      <c r="H3" s="10" t="s">
        <v>467</v>
      </c>
      <c r="I3" s="1">
        <v>150</v>
      </c>
      <c r="J3" s="1">
        <v>7</v>
      </c>
      <c r="K3" s="1">
        <v>7</v>
      </c>
      <c r="L3" s="1">
        <v>6</v>
      </c>
      <c r="M3" s="79">
        <v>1.8374999999999999</v>
      </c>
      <c r="N3" s="103">
        <v>6</v>
      </c>
      <c r="O3" s="64">
        <v>7000</v>
      </c>
      <c r="P3" s="65">
        <f>Table22457891011234567891011121314151617181920212223242526272829[[#This Row],[PEMBULATAN]]*O3</f>
        <v>42000</v>
      </c>
    </row>
    <row r="4" spans="1:16" ht="26.25" customHeight="1" x14ac:dyDescent="0.2">
      <c r="A4" s="14"/>
      <c r="B4" s="74"/>
      <c r="C4" s="9" t="s">
        <v>569</v>
      </c>
      <c r="D4" s="75" t="s">
        <v>83</v>
      </c>
      <c r="E4" s="13">
        <v>44487</v>
      </c>
      <c r="F4" s="75" t="s">
        <v>84</v>
      </c>
      <c r="G4" s="13" t="s">
        <v>466</v>
      </c>
      <c r="H4" s="10" t="s">
        <v>467</v>
      </c>
      <c r="I4" s="1">
        <v>43</v>
      </c>
      <c r="J4" s="1">
        <v>31</v>
      </c>
      <c r="K4" s="1">
        <v>30</v>
      </c>
      <c r="L4" s="1">
        <v>5</v>
      </c>
      <c r="M4" s="79">
        <v>9.9975000000000005</v>
      </c>
      <c r="N4" s="103">
        <v>9.9975000000000005</v>
      </c>
      <c r="O4" s="64">
        <v>7000</v>
      </c>
      <c r="P4" s="65">
        <f>Table22457891011234567891011121314151617181920212223242526272829[[#This Row],[PEMBULATAN]]*O4</f>
        <v>69982.5</v>
      </c>
    </row>
    <row r="5" spans="1:16" ht="26.25" customHeight="1" x14ac:dyDescent="0.2">
      <c r="A5" s="14"/>
      <c r="B5" s="74"/>
      <c r="C5" s="95" t="s">
        <v>570</v>
      </c>
      <c r="D5" s="96" t="s">
        <v>83</v>
      </c>
      <c r="E5" s="97">
        <v>44487</v>
      </c>
      <c r="F5" s="98" t="s">
        <v>84</v>
      </c>
      <c r="G5" s="97" t="s">
        <v>466</v>
      </c>
      <c r="H5" s="99" t="s">
        <v>467</v>
      </c>
      <c r="I5" s="100">
        <v>33</v>
      </c>
      <c r="J5" s="100">
        <v>33</v>
      </c>
      <c r="K5" s="100">
        <v>13</v>
      </c>
      <c r="L5" s="100">
        <v>3</v>
      </c>
      <c r="M5" s="101">
        <v>3.53925</v>
      </c>
      <c r="N5" s="107">
        <v>3.53925</v>
      </c>
      <c r="O5" s="64">
        <v>7000</v>
      </c>
      <c r="P5" s="65">
        <f>Table22457891011234567891011121314151617181920212223242526272829[[#This Row],[PEMBULATAN]]*O5</f>
        <v>24774.75</v>
      </c>
    </row>
    <row r="6" spans="1:16" ht="26.25" customHeight="1" x14ac:dyDescent="0.2">
      <c r="A6" s="14"/>
      <c r="B6" s="74"/>
      <c r="C6" s="95" t="s">
        <v>571</v>
      </c>
      <c r="D6" s="96" t="s">
        <v>83</v>
      </c>
      <c r="E6" s="97">
        <v>44487</v>
      </c>
      <c r="F6" s="98" t="s">
        <v>84</v>
      </c>
      <c r="G6" s="97" t="s">
        <v>466</v>
      </c>
      <c r="H6" s="99" t="s">
        <v>467</v>
      </c>
      <c r="I6" s="100">
        <v>30</v>
      </c>
      <c r="J6" s="100">
        <v>25</v>
      </c>
      <c r="K6" s="100">
        <v>40</v>
      </c>
      <c r="L6" s="100">
        <v>5</v>
      </c>
      <c r="M6" s="101">
        <v>7.5</v>
      </c>
      <c r="N6" s="107">
        <v>7.5</v>
      </c>
      <c r="O6" s="64">
        <v>7000</v>
      </c>
      <c r="P6" s="65">
        <f>Table22457891011234567891011121314151617181920212223242526272829[[#This Row],[PEMBULATAN]]*O6</f>
        <v>52500</v>
      </c>
    </row>
    <row r="7" spans="1:16" ht="26.25" customHeight="1" x14ac:dyDescent="0.2">
      <c r="A7" s="14"/>
      <c r="B7" s="74"/>
      <c r="C7" s="95" t="s">
        <v>572</v>
      </c>
      <c r="D7" s="96" t="s">
        <v>83</v>
      </c>
      <c r="E7" s="97">
        <v>44487</v>
      </c>
      <c r="F7" s="98" t="s">
        <v>84</v>
      </c>
      <c r="G7" s="97" t="s">
        <v>466</v>
      </c>
      <c r="H7" s="99" t="s">
        <v>467</v>
      </c>
      <c r="I7" s="100">
        <v>47</v>
      </c>
      <c r="J7" s="100">
        <v>38</v>
      </c>
      <c r="K7" s="100">
        <v>55</v>
      </c>
      <c r="L7" s="100">
        <v>16</v>
      </c>
      <c r="M7" s="101">
        <v>24.557500000000001</v>
      </c>
      <c r="N7" s="107">
        <v>24.557500000000001</v>
      </c>
      <c r="O7" s="64">
        <v>7000</v>
      </c>
      <c r="P7" s="65">
        <f>Table22457891011234567891011121314151617181920212223242526272829[[#This Row],[PEMBULATAN]]*O7</f>
        <v>171902.5</v>
      </c>
    </row>
    <row r="8" spans="1:16" ht="26.25" customHeight="1" x14ac:dyDescent="0.2">
      <c r="A8" s="14"/>
      <c r="B8" s="108"/>
      <c r="C8" s="95" t="s">
        <v>573</v>
      </c>
      <c r="D8" s="96" t="s">
        <v>83</v>
      </c>
      <c r="E8" s="97">
        <v>44487</v>
      </c>
      <c r="F8" s="98" t="s">
        <v>84</v>
      </c>
      <c r="G8" s="97" t="s">
        <v>466</v>
      </c>
      <c r="H8" s="99" t="s">
        <v>467</v>
      </c>
      <c r="I8" s="100">
        <v>52</v>
      </c>
      <c r="J8" s="100">
        <v>20</v>
      </c>
      <c r="K8" s="100">
        <v>43</v>
      </c>
      <c r="L8" s="100">
        <v>10</v>
      </c>
      <c r="M8" s="101">
        <v>11.18</v>
      </c>
      <c r="N8" s="107">
        <v>11.18</v>
      </c>
      <c r="O8" s="64">
        <v>7000</v>
      </c>
      <c r="P8" s="65">
        <f>Table22457891011234567891011121314151617181920212223242526272829[[#This Row],[PEMBULATAN]]*O8</f>
        <v>78260</v>
      </c>
    </row>
    <row r="9" spans="1:16" ht="26.25" customHeight="1" x14ac:dyDescent="0.2">
      <c r="A9" s="14"/>
      <c r="B9" s="74" t="s">
        <v>574</v>
      </c>
      <c r="C9" s="95" t="s">
        <v>575</v>
      </c>
      <c r="D9" s="96" t="s">
        <v>83</v>
      </c>
      <c r="E9" s="97">
        <v>44487</v>
      </c>
      <c r="F9" s="98" t="s">
        <v>84</v>
      </c>
      <c r="G9" s="97" t="s">
        <v>466</v>
      </c>
      <c r="H9" s="99" t="s">
        <v>467</v>
      </c>
      <c r="I9" s="100">
        <v>40</v>
      </c>
      <c r="J9" s="100">
        <v>40</v>
      </c>
      <c r="K9" s="100">
        <v>24</v>
      </c>
      <c r="L9" s="100">
        <v>5</v>
      </c>
      <c r="M9" s="101">
        <v>9.6</v>
      </c>
      <c r="N9" s="107">
        <v>9.6</v>
      </c>
      <c r="O9" s="64">
        <v>7000</v>
      </c>
      <c r="P9" s="65">
        <f>Table22457891011234567891011121314151617181920212223242526272829[[#This Row],[PEMBULATAN]]*O9</f>
        <v>67200</v>
      </c>
    </row>
    <row r="10" spans="1:16" ht="26.25" customHeight="1" x14ac:dyDescent="0.2">
      <c r="A10" s="14"/>
      <c r="B10" s="108"/>
      <c r="C10" s="95" t="s">
        <v>576</v>
      </c>
      <c r="D10" s="96" t="s">
        <v>83</v>
      </c>
      <c r="E10" s="97">
        <v>44487</v>
      </c>
      <c r="F10" s="98" t="s">
        <v>84</v>
      </c>
      <c r="G10" s="97" t="s">
        <v>466</v>
      </c>
      <c r="H10" s="99" t="s">
        <v>467</v>
      </c>
      <c r="I10" s="100">
        <v>37</v>
      </c>
      <c r="J10" s="100">
        <v>47</v>
      </c>
      <c r="K10" s="100">
        <v>18</v>
      </c>
      <c r="L10" s="100">
        <v>12</v>
      </c>
      <c r="M10" s="101">
        <v>7.8254999999999999</v>
      </c>
      <c r="N10" s="107">
        <v>12</v>
      </c>
      <c r="O10" s="64">
        <v>7000</v>
      </c>
      <c r="P10" s="65">
        <f>Table22457891011234567891011121314151617181920212223242526272829[[#This Row],[PEMBULATAN]]*O10</f>
        <v>84000</v>
      </c>
    </row>
    <row r="11" spans="1:16" ht="26.25" customHeight="1" x14ac:dyDescent="0.2">
      <c r="A11" s="14"/>
      <c r="B11" s="74" t="s">
        <v>577</v>
      </c>
      <c r="C11" s="95" t="s">
        <v>578</v>
      </c>
      <c r="D11" s="96" t="s">
        <v>83</v>
      </c>
      <c r="E11" s="97">
        <v>44487</v>
      </c>
      <c r="F11" s="98" t="s">
        <v>84</v>
      </c>
      <c r="G11" s="97" t="s">
        <v>466</v>
      </c>
      <c r="H11" s="99" t="s">
        <v>467</v>
      </c>
      <c r="I11" s="100">
        <v>40</v>
      </c>
      <c r="J11" s="100">
        <v>28</v>
      </c>
      <c r="K11" s="100">
        <v>11</v>
      </c>
      <c r="L11" s="100">
        <v>10</v>
      </c>
      <c r="M11" s="101">
        <v>3.08</v>
      </c>
      <c r="N11" s="107">
        <v>10</v>
      </c>
      <c r="O11" s="64">
        <v>7000</v>
      </c>
      <c r="P11" s="65">
        <f>Table22457891011234567891011121314151617181920212223242526272829[[#This Row],[PEMBULATAN]]*O11</f>
        <v>70000</v>
      </c>
    </row>
    <row r="12" spans="1:16" ht="22.5" customHeight="1" x14ac:dyDescent="0.2">
      <c r="A12" s="143" t="s">
        <v>30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5"/>
      <c r="M12" s="78">
        <f>SUBTOTAL(109,Table22457891011234567891011121314151617181920212223242526272829[KG VOLUME])</f>
        <v>79.117249999999999</v>
      </c>
      <c r="N12" s="68">
        <f>SUM(N3:N11)</f>
        <v>94.374250000000004</v>
      </c>
      <c r="O12" s="146">
        <f>SUM(P3:P11)</f>
        <v>660619.75</v>
      </c>
      <c r="P12" s="147"/>
    </row>
    <row r="13" spans="1:16" ht="18" customHeight="1" x14ac:dyDescent="0.2">
      <c r="A13" s="85"/>
      <c r="B13" s="56" t="s">
        <v>42</v>
      </c>
      <c r="C13" s="55"/>
      <c r="D13" s="57" t="s">
        <v>43</v>
      </c>
      <c r="E13" s="85"/>
      <c r="F13" s="85"/>
      <c r="G13" s="85"/>
      <c r="H13" s="85"/>
      <c r="I13" s="85"/>
      <c r="J13" s="85"/>
      <c r="K13" s="85"/>
      <c r="L13" s="85"/>
      <c r="M13" s="86"/>
      <c r="N13" s="87" t="s">
        <v>52</v>
      </c>
      <c r="O13" s="88"/>
      <c r="P13" s="88">
        <v>0</v>
      </c>
    </row>
    <row r="14" spans="1:16" ht="18" customHeight="1" thickBot="1" x14ac:dyDescent="0.25">
      <c r="A14" s="85"/>
      <c r="B14" s="56"/>
      <c r="C14" s="55"/>
      <c r="D14" s="57"/>
      <c r="E14" s="85"/>
      <c r="F14" s="85"/>
      <c r="G14" s="85"/>
      <c r="H14" s="85"/>
      <c r="I14" s="85"/>
      <c r="J14" s="85"/>
      <c r="K14" s="85"/>
      <c r="L14" s="85"/>
      <c r="M14" s="86"/>
      <c r="N14" s="89" t="s">
        <v>53</v>
      </c>
      <c r="O14" s="90"/>
      <c r="P14" s="90">
        <f>O12-P13</f>
        <v>660619.75</v>
      </c>
    </row>
    <row r="15" spans="1:16" ht="18" customHeight="1" x14ac:dyDescent="0.2">
      <c r="A15" s="11"/>
      <c r="H15" s="63"/>
      <c r="N15" s="62" t="s">
        <v>31</v>
      </c>
      <c r="P15" s="69">
        <f>P14*1%</f>
        <v>6606.1975000000002</v>
      </c>
    </row>
    <row r="16" spans="1:16" ht="18" customHeight="1" thickBot="1" x14ac:dyDescent="0.25">
      <c r="A16" s="11"/>
      <c r="H16" s="63"/>
      <c r="N16" s="62" t="s">
        <v>54</v>
      </c>
      <c r="P16" s="71">
        <f>P14*2%</f>
        <v>13212.395</v>
      </c>
    </row>
    <row r="17" spans="1:16" ht="18" customHeight="1" x14ac:dyDescent="0.2">
      <c r="A17" s="11"/>
      <c r="H17" s="63"/>
      <c r="N17" s="66" t="s">
        <v>32</v>
      </c>
      <c r="O17" s="67"/>
      <c r="P17" s="70">
        <f>P14+P15-P16</f>
        <v>654013.55249999999</v>
      </c>
    </row>
    <row r="19" spans="1:16" x14ac:dyDescent="0.2">
      <c r="A19" s="11"/>
      <c r="H19" s="63"/>
      <c r="P19" s="71"/>
    </row>
    <row r="20" spans="1:16" x14ac:dyDescent="0.2">
      <c r="A20" s="11"/>
      <c r="H20" s="63"/>
      <c r="O20" s="58"/>
      <c r="P20" s="71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</sheetData>
  <mergeCells count="2">
    <mergeCell ref="A12:L12"/>
    <mergeCell ref="O12:P12"/>
  </mergeCells>
  <conditionalFormatting sqref="B3">
    <cfRule type="duplicateValues" dxfId="471" priority="2"/>
  </conditionalFormatting>
  <conditionalFormatting sqref="B4:B11">
    <cfRule type="duplicateValues" dxfId="470" priority="5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403909</v>
      </c>
      <c r="B3" s="73" t="s">
        <v>669</v>
      </c>
      <c r="C3" s="9" t="s">
        <v>671</v>
      </c>
      <c r="D3" s="75" t="s">
        <v>83</v>
      </c>
      <c r="E3" s="13">
        <v>44486</v>
      </c>
      <c r="F3" s="75" t="s">
        <v>84</v>
      </c>
      <c r="G3" s="13" t="s">
        <v>466</v>
      </c>
      <c r="H3" s="10" t="s">
        <v>467</v>
      </c>
      <c r="I3" s="1">
        <v>40</v>
      </c>
      <c r="J3" s="1">
        <v>30</v>
      </c>
      <c r="K3" s="1">
        <v>25</v>
      </c>
      <c r="L3" s="1">
        <v>5</v>
      </c>
      <c r="M3" s="79">
        <v>7.5</v>
      </c>
      <c r="N3" s="103">
        <v>7.5</v>
      </c>
      <c r="O3" s="64">
        <v>7000</v>
      </c>
      <c r="P3" s="65">
        <f>Table2245789101123456789101112131415161718192021222324252627282930[[#This Row],[PEMBULATAN]]*O3</f>
        <v>52500</v>
      </c>
    </row>
    <row r="4" spans="1:16" ht="26.25" customHeight="1" x14ac:dyDescent="0.2">
      <c r="A4" s="14"/>
      <c r="B4" s="108"/>
      <c r="C4" s="9" t="s">
        <v>672</v>
      </c>
      <c r="D4" s="75" t="s">
        <v>83</v>
      </c>
      <c r="E4" s="13">
        <v>44486</v>
      </c>
      <c r="F4" s="75" t="s">
        <v>84</v>
      </c>
      <c r="G4" s="13" t="s">
        <v>466</v>
      </c>
      <c r="H4" s="10" t="s">
        <v>467</v>
      </c>
      <c r="I4" s="1">
        <v>86</v>
      </c>
      <c r="J4" s="1">
        <v>37</v>
      </c>
      <c r="K4" s="1">
        <v>13</v>
      </c>
      <c r="L4" s="1">
        <v>7</v>
      </c>
      <c r="M4" s="79">
        <v>10.3415</v>
      </c>
      <c r="N4" s="103">
        <v>11</v>
      </c>
      <c r="O4" s="64">
        <v>7000</v>
      </c>
      <c r="P4" s="65">
        <f>Table2245789101123456789101112131415161718192021222324252627282930[[#This Row],[PEMBULATAN]]*O4</f>
        <v>77000</v>
      </c>
    </row>
    <row r="5" spans="1:16" ht="26.25" customHeight="1" x14ac:dyDescent="0.2">
      <c r="A5" s="14"/>
      <c r="B5" s="74" t="s">
        <v>670</v>
      </c>
      <c r="C5" s="95" t="s">
        <v>673</v>
      </c>
      <c r="D5" s="96" t="s">
        <v>83</v>
      </c>
      <c r="E5" s="97">
        <v>44486</v>
      </c>
      <c r="F5" s="98" t="s">
        <v>84</v>
      </c>
      <c r="G5" s="97" t="s">
        <v>466</v>
      </c>
      <c r="H5" s="99" t="s">
        <v>467</v>
      </c>
      <c r="I5" s="100">
        <v>9</v>
      </c>
      <c r="J5" s="100">
        <v>10</v>
      </c>
      <c r="K5" s="100">
        <v>5</v>
      </c>
      <c r="L5" s="100">
        <v>20</v>
      </c>
      <c r="M5" s="101">
        <v>0.1125</v>
      </c>
      <c r="N5" s="107">
        <v>20</v>
      </c>
      <c r="O5" s="64">
        <v>7000</v>
      </c>
      <c r="P5" s="65">
        <f>Table2245789101123456789101112131415161718192021222324252627282930[[#This Row],[PEMBULATAN]]*O5</f>
        <v>140000</v>
      </c>
    </row>
    <row r="6" spans="1:16" ht="22.5" customHeight="1" x14ac:dyDescent="0.2">
      <c r="A6" s="143" t="s">
        <v>30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5"/>
      <c r="M6" s="78">
        <f>SUBTOTAL(109,Table2245789101123456789101112131415161718192021222324252627282930[KG VOLUME])</f>
        <v>17.954000000000001</v>
      </c>
      <c r="N6" s="68">
        <f>SUM(N3:N5)</f>
        <v>38.5</v>
      </c>
      <c r="O6" s="146">
        <f>SUM(P3:P5)</f>
        <v>269500</v>
      </c>
      <c r="P6" s="147"/>
    </row>
    <row r="7" spans="1:16" ht="18" customHeight="1" x14ac:dyDescent="0.2">
      <c r="A7" s="85"/>
      <c r="B7" s="56" t="s">
        <v>42</v>
      </c>
      <c r="C7" s="55"/>
      <c r="D7" s="57" t="s">
        <v>43</v>
      </c>
      <c r="E7" s="85"/>
      <c r="F7" s="85"/>
      <c r="G7" s="85"/>
      <c r="H7" s="85"/>
      <c r="I7" s="85"/>
      <c r="J7" s="85"/>
      <c r="K7" s="85"/>
      <c r="L7" s="85"/>
      <c r="M7" s="86"/>
      <c r="N7" s="87" t="s">
        <v>52</v>
      </c>
      <c r="O7" s="88"/>
      <c r="P7" s="88">
        <v>0</v>
      </c>
    </row>
    <row r="8" spans="1:16" ht="18" customHeight="1" thickBot="1" x14ac:dyDescent="0.25">
      <c r="A8" s="85"/>
      <c r="B8" s="56"/>
      <c r="C8" s="55"/>
      <c r="D8" s="57"/>
      <c r="E8" s="85"/>
      <c r="F8" s="85"/>
      <c r="G8" s="85"/>
      <c r="H8" s="85"/>
      <c r="I8" s="85"/>
      <c r="J8" s="85"/>
      <c r="K8" s="85"/>
      <c r="L8" s="85"/>
      <c r="M8" s="86"/>
      <c r="N8" s="89" t="s">
        <v>53</v>
      </c>
      <c r="O8" s="90"/>
      <c r="P8" s="90">
        <f>O6-P7</f>
        <v>269500</v>
      </c>
    </row>
    <row r="9" spans="1:16" ht="18" customHeight="1" x14ac:dyDescent="0.2">
      <c r="A9" s="11"/>
      <c r="H9" s="63"/>
      <c r="N9" s="62" t="s">
        <v>31</v>
      </c>
      <c r="P9" s="69">
        <f>P8*1%</f>
        <v>2695</v>
      </c>
    </row>
    <row r="10" spans="1:16" ht="18" customHeight="1" thickBot="1" x14ac:dyDescent="0.25">
      <c r="A10" s="11"/>
      <c r="H10" s="63"/>
      <c r="N10" s="62" t="s">
        <v>54</v>
      </c>
      <c r="P10" s="71">
        <f>P8*2%</f>
        <v>5390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266805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454" priority="2"/>
  </conditionalFormatting>
  <conditionalFormatting sqref="B4:B5">
    <cfRule type="duplicateValues" dxfId="453" priority="6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0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Q33" sqref="Q3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402157</v>
      </c>
      <c r="B3" s="73" t="s">
        <v>86</v>
      </c>
      <c r="C3" s="9" t="s">
        <v>87</v>
      </c>
      <c r="D3" s="75" t="s">
        <v>83</v>
      </c>
      <c r="E3" s="13">
        <v>44471</v>
      </c>
      <c r="F3" s="75" t="s">
        <v>84</v>
      </c>
      <c r="G3" s="13">
        <v>44472.375</v>
      </c>
      <c r="H3" s="10" t="s">
        <v>116</v>
      </c>
      <c r="I3" s="1">
        <v>98</v>
      </c>
      <c r="J3" s="1">
        <v>54</v>
      </c>
      <c r="K3" s="1">
        <v>38</v>
      </c>
      <c r="L3" s="1">
        <v>39</v>
      </c>
      <c r="M3" s="79">
        <v>50.274000000000001</v>
      </c>
      <c r="N3" s="103">
        <v>50.274000000000001</v>
      </c>
      <c r="O3" s="64">
        <v>7000</v>
      </c>
      <c r="P3" s="65">
        <f>Table2245789101123[[#This Row],[PEMBULATAN]]*O3</f>
        <v>351918</v>
      </c>
    </row>
    <row r="4" spans="1:16" ht="26.25" customHeight="1" x14ac:dyDescent="0.2">
      <c r="A4" s="14"/>
      <c r="B4" s="74"/>
      <c r="C4" s="9" t="s">
        <v>88</v>
      </c>
      <c r="D4" s="75" t="s">
        <v>83</v>
      </c>
      <c r="E4" s="13">
        <v>44471</v>
      </c>
      <c r="F4" s="75" t="s">
        <v>84</v>
      </c>
      <c r="G4" s="13">
        <v>44472.375</v>
      </c>
      <c r="H4" s="10" t="s">
        <v>116</v>
      </c>
      <c r="I4" s="1">
        <v>80</v>
      </c>
      <c r="J4" s="1">
        <v>36</v>
      </c>
      <c r="K4" s="1">
        <v>36</v>
      </c>
      <c r="L4" s="1">
        <v>13</v>
      </c>
      <c r="M4" s="79">
        <v>25.92</v>
      </c>
      <c r="N4" s="103">
        <v>25.92</v>
      </c>
      <c r="O4" s="64">
        <v>7000</v>
      </c>
      <c r="P4" s="65">
        <f>Table2245789101123[[#This Row],[PEMBULATAN]]*O4</f>
        <v>181440</v>
      </c>
    </row>
    <row r="5" spans="1:16" ht="26.25" customHeight="1" x14ac:dyDescent="0.2">
      <c r="A5" s="14"/>
      <c r="B5" s="14"/>
      <c r="C5" s="9" t="s">
        <v>89</v>
      </c>
      <c r="D5" s="75" t="s">
        <v>83</v>
      </c>
      <c r="E5" s="13">
        <v>44471</v>
      </c>
      <c r="F5" s="75" t="s">
        <v>84</v>
      </c>
      <c r="G5" s="13">
        <v>44472.375</v>
      </c>
      <c r="H5" s="10" t="s">
        <v>116</v>
      </c>
      <c r="I5" s="1">
        <v>82</v>
      </c>
      <c r="J5" s="1">
        <v>53</v>
      </c>
      <c r="K5" s="1">
        <v>30</v>
      </c>
      <c r="L5" s="1">
        <v>8</v>
      </c>
      <c r="M5" s="79">
        <v>32.594999999999999</v>
      </c>
      <c r="N5" s="103">
        <v>32.594999999999999</v>
      </c>
      <c r="O5" s="64">
        <v>7000</v>
      </c>
      <c r="P5" s="65">
        <f>Table2245789101123[[#This Row],[PEMBULATAN]]*O5</f>
        <v>228165</v>
      </c>
    </row>
    <row r="6" spans="1:16" ht="26.25" customHeight="1" x14ac:dyDescent="0.2">
      <c r="A6" s="14"/>
      <c r="B6" s="14"/>
      <c r="C6" s="72" t="s">
        <v>90</v>
      </c>
      <c r="D6" s="77" t="s">
        <v>83</v>
      </c>
      <c r="E6" s="13">
        <v>44471</v>
      </c>
      <c r="F6" s="75" t="s">
        <v>84</v>
      </c>
      <c r="G6" s="13">
        <v>44472.375</v>
      </c>
      <c r="H6" s="76" t="s">
        <v>116</v>
      </c>
      <c r="I6" s="16">
        <v>47</v>
      </c>
      <c r="J6" s="16">
        <v>38</v>
      </c>
      <c r="K6" s="16">
        <v>54</v>
      </c>
      <c r="L6" s="16">
        <v>32</v>
      </c>
      <c r="M6" s="80">
        <v>24.111000000000001</v>
      </c>
      <c r="N6" s="103">
        <v>32</v>
      </c>
      <c r="O6" s="64">
        <v>7000</v>
      </c>
      <c r="P6" s="65">
        <f>Table2245789101123[[#This Row],[PEMBULATAN]]*O6</f>
        <v>224000</v>
      </c>
    </row>
    <row r="7" spans="1:16" ht="26.25" customHeight="1" x14ac:dyDescent="0.2">
      <c r="A7" s="14"/>
      <c r="B7" s="14"/>
      <c r="C7" s="72" t="s">
        <v>91</v>
      </c>
      <c r="D7" s="77" t="s">
        <v>83</v>
      </c>
      <c r="E7" s="13">
        <v>44471</v>
      </c>
      <c r="F7" s="75" t="s">
        <v>84</v>
      </c>
      <c r="G7" s="13">
        <v>44472.375</v>
      </c>
      <c r="H7" s="76" t="s">
        <v>116</v>
      </c>
      <c r="I7" s="16">
        <v>30</v>
      </c>
      <c r="J7" s="16">
        <v>22</v>
      </c>
      <c r="K7" s="16">
        <v>22</v>
      </c>
      <c r="L7" s="16">
        <v>5</v>
      </c>
      <c r="M7" s="80">
        <v>3.63</v>
      </c>
      <c r="N7" s="103">
        <v>5</v>
      </c>
      <c r="O7" s="64">
        <v>7000</v>
      </c>
      <c r="P7" s="65">
        <f>Table2245789101123[[#This Row],[PEMBULATAN]]*O7</f>
        <v>35000</v>
      </c>
    </row>
    <row r="8" spans="1:16" ht="26.25" customHeight="1" x14ac:dyDescent="0.2">
      <c r="A8" s="14"/>
      <c r="B8" s="14"/>
      <c r="C8" s="72" t="s">
        <v>92</v>
      </c>
      <c r="D8" s="77" t="s">
        <v>83</v>
      </c>
      <c r="E8" s="13">
        <v>44471</v>
      </c>
      <c r="F8" s="75" t="s">
        <v>84</v>
      </c>
      <c r="G8" s="13">
        <v>44472.375</v>
      </c>
      <c r="H8" s="76" t="s">
        <v>116</v>
      </c>
      <c r="I8" s="16">
        <v>55</v>
      </c>
      <c r="J8" s="16">
        <v>40</v>
      </c>
      <c r="K8" s="16">
        <v>38</v>
      </c>
      <c r="L8" s="16">
        <v>17</v>
      </c>
      <c r="M8" s="80">
        <v>20.9</v>
      </c>
      <c r="N8" s="103">
        <v>20.9</v>
      </c>
      <c r="O8" s="64">
        <v>7000</v>
      </c>
      <c r="P8" s="65">
        <f>Table2245789101123[[#This Row],[PEMBULATAN]]*O8</f>
        <v>146300</v>
      </c>
    </row>
    <row r="9" spans="1:16" ht="26.25" customHeight="1" x14ac:dyDescent="0.2">
      <c r="A9" s="14"/>
      <c r="B9" s="14"/>
      <c r="C9" s="72" t="s">
        <v>93</v>
      </c>
      <c r="D9" s="77" t="s">
        <v>83</v>
      </c>
      <c r="E9" s="13">
        <v>44471</v>
      </c>
      <c r="F9" s="75" t="s">
        <v>84</v>
      </c>
      <c r="G9" s="13">
        <v>44472.375</v>
      </c>
      <c r="H9" s="76" t="s">
        <v>116</v>
      </c>
      <c r="I9" s="16">
        <v>50</v>
      </c>
      <c r="J9" s="16">
        <v>37</v>
      </c>
      <c r="K9" s="16">
        <v>60</v>
      </c>
      <c r="L9" s="16">
        <v>22</v>
      </c>
      <c r="M9" s="80">
        <v>27.75</v>
      </c>
      <c r="N9" s="103">
        <v>27.75</v>
      </c>
      <c r="O9" s="64">
        <v>7000</v>
      </c>
      <c r="P9" s="65">
        <f>Table2245789101123[[#This Row],[PEMBULATAN]]*O9</f>
        <v>194250</v>
      </c>
    </row>
    <row r="10" spans="1:16" ht="26.25" customHeight="1" x14ac:dyDescent="0.2">
      <c r="A10" s="14"/>
      <c r="B10" s="14"/>
      <c r="C10" s="72" t="s">
        <v>94</v>
      </c>
      <c r="D10" s="77" t="s">
        <v>83</v>
      </c>
      <c r="E10" s="13">
        <v>44471</v>
      </c>
      <c r="F10" s="75" t="s">
        <v>84</v>
      </c>
      <c r="G10" s="13">
        <v>44472.375</v>
      </c>
      <c r="H10" s="76" t="s">
        <v>116</v>
      </c>
      <c r="I10" s="16">
        <v>60</v>
      </c>
      <c r="J10" s="16">
        <v>30</v>
      </c>
      <c r="K10" s="16">
        <v>30</v>
      </c>
      <c r="L10" s="16">
        <v>7</v>
      </c>
      <c r="M10" s="80">
        <v>13.5</v>
      </c>
      <c r="N10" s="103">
        <v>13.5</v>
      </c>
      <c r="O10" s="64">
        <v>7000</v>
      </c>
      <c r="P10" s="65">
        <f>Table2245789101123[[#This Row],[PEMBULATAN]]*O10</f>
        <v>94500</v>
      </c>
    </row>
    <row r="11" spans="1:16" ht="26.25" customHeight="1" x14ac:dyDescent="0.2">
      <c r="A11" s="14"/>
      <c r="B11" s="14"/>
      <c r="C11" s="72" t="s">
        <v>95</v>
      </c>
      <c r="D11" s="77" t="s">
        <v>83</v>
      </c>
      <c r="E11" s="13">
        <v>44471</v>
      </c>
      <c r="F11" s="75" t="s">
        <v>84</v>
      </c>
      <c r="G11" s="13">
        <v>44472.375</v>
      </c>
      <c r="H11" s="76" t="s">
        <v>116</v>
      </c>
      <c r="I11" s="16">
        <v>56</v>
      </c>
      <c r="J11" s="16">
        <v>38</v>
      </c>
      <c r="K11" s="16">
        <v>21</v>
      </c>
      <c r="L11" s="16">
        <v>10</v>
      </c>
      <c r="M11" s="80">
        <v>11.172000000000001</v>
      </c>
      <c r="N11" s="103">
        <v>11.172000000000001</v>
      </c>
      <c r="O11" s="64">
        <v>7000</v>
      </c>
      <c r="P11" s="65">
        <f>Table2245789101123[[#This Row],[PEMBULATAN]]*O11</f>
        <v>78204</v>
      </c>
    </row>
    <row r="12" spans="1:16" ht="26.25" customHeight="1" x14ac:dyDescent="0.2">
      <c r="A12" s="14"/>
      <c r="B12" s="14"/>
      <c r="C12" s="72" t="s">
        <v>96</v>
      </c>
      <c r="D12" s="77" t="s">
        <v>83</v>
      </c>
      <c r="E12" s="13">
        <v>44471</v>
      </c>
      <c r="F12" s="75" t="s">
        <v>84</v>
      </c>
      <c r="G12" s="13">
        <v>44472.375</v>
      </c>
      <c r="H12" s="76" t="s">
        <v>116</v>
      </c>
      <c r="I12" s="16">
        <v>104</v>
      </c>
      <c r="J12" s="16">
        <v>42</v>
      </c>
      <c r="K12" s="16">
        <v>10</v>
      </c>
      <c r="L12" s="16">
        <v>16</v>
      </c>
      <c r="M12" s="80">
        <v>10.92</v>
      </c>
      <c r="N12" s="103">
        <v>16</v>
      </c>
      <c r="O12" s="64">
        <v>7000</v>
      </c>
      <c r="P12" s="65">
        <f>Table2245789101123[[#This Row],[PEMBULATAN]]*O12</f>
        <v>112000</v>
      </c>
    </row>
    <row r="13" spans="1:16" ht="26.25" customHeight="1" x14ac:dyDescent="0.2">
      <c r="A13" s="14"/>
      <c r="B13" s="14"/>
      <c r="C13" s="72" t="s">
        <v>97</v>
      </c>
      <c r="D13" s="77" t="s">
        <v>83</v>
      </c>
      <c r="E13" s="13">
        <v>44471</v>
      </c>
      <c r="F13" s="75" t="s">
        <v>84</v>
      </c>
      <c r="G13" s="13">
        <v>44472.375</v>
      </c>
      <c r="H13" s="76" t="s">
        <v>116</v>
      </c>
      <c r="I13" s="16">
        <v>133</v>
      </c>
      <c r="J13" s="16">
        <v>41</v>
      </c>
      <c r="K13" s="16">
        <v>15</v>
      </c>
      <c r="L13" s="16">
        <v>7</v>
      </c>
      <c r="M13" s="80">
        <v>20.44875</v>
      </c>
      <c r="N13" s="103">
        <v>21</v>
      </c>
      <c r="O13" s="64">
        <v>7000</v>
      </c>
      <c r="P13" s="65">
        <f>Table2245789101123[[#This Row],[PEMBULATAN]]*O13</f>
        <v>147000</v>
      </c>
    </row>
    <row r="14" spans="1:16" ht="26.25" customHeight="1" x14ac:dyDescent="0.2">
      <c r="A14" s="14"/>
      <c r="B14" s="14"/>
      <c r="C14" s="72" t="s">
        <v>98</v>
      </c>
      <c r="D14" s="77" t="s">
        <v>83</v>
      </c>
      <c r="E14" s="13">
        <v>44471</v>
      </c>
      <c r="F14" s="75" t="s">
        <v>84</v>
      </c>
      <c r="G14" s="13">
        <v>44472.375</v>
      </c>
      <c r="H14" s="76" t="s">
        <v>116</v>
      </c>
      <c r="I14" s="16">
        <v>50</v>
      </c>
      <c r="J14" s="16">
        <v>36</v>
      </c>
      <c r="K14" s="16">
        <v>20</v>
      </c>
      <c r="L14" s="16">
        <v>7</v>
      </c>
      <c r="M14" s="80">
        <v>9</v>
      </c>
      <c r="N14" s="103">
        <v>9</v>
      </c>
      <c r="O14" s="64">
        <v>7000</v>
      </c>
      <c r="P14" s="65">
        <f>Table2245789101123[[#This Row],[PEMBULATAN]]*O14</f>
        <v>63000</v>
      </c>
    </row>
    <row r="15" spans="1:16" ht="26.25" customHeight="1" x14ac:dyDescent="0.2">
      <c r="A15" s="14"/>
      <c r="B15" s="14"/>
      <c r="C15" s="72" t="s">
        <v>99</v>
      </c>
      <c r="D15" s="77" t="s">
        <v>83</v>
      </c>
      <c r="E15" s="13">
        <v>44471</v>
      </c>
      <c r="F15" s="75" t="s">
        <v>84</v>
      </c>
      <c r="G15" s="13">
        <v>44472.375</v>
      </c>
      <c r="H15" s="76" t="s">
        <v>116</v>
      </c>
      <c r="I15" s="16">
        <v>41</v>
      </c>
      <c r="J15" s="16">
        <v>30</v>
      </c>
      <c r="K15" s="16">
        <v>25</v>
      </c>
      <c r="L15" s="16">
        <v>12</v>
      </c>
      <c r="M15" s="80">
        <v>7.6875</v>
      </c>
      <c r="N15" s="103">
        <v>12</v>
      </c>
      <c r="O15" s="64">
        <v>7000</v>
      </c>
      <c r="P15" s="65">
        <f>Table2245789101123[[#This Row],[PEMBULATAN]]*O15</f>
        <v>84000</v>
      </c>
    </row>
    <row r="16" spans="1:16" ht="26.25" customHeight="1" x14ac:dyDescent="0.2">
      <c r="A16" s="14"/>
      <c r="B16" s="14"/>
      <c r="C16" s="72" t="s">
        <v>100</v>
      </c>
      <c r="D16" s="77" t="s">
        <v>83</v>
      </c>
      <c r="E16" s="13">
        <v>44471</v>
      </c>
      <c r="F16" s="75" t="s">
        <v>84</v>
      </c>
      <c r="G16" s="13">
        <v>44472.375</v>
      </c>
      <c r="H16" s="76" t="s">
        <v>116</v>
      </c>
      <c r="I16" s="16">
        <v>45</v>
      </c>
      <c r="J16" s="16">
        <v>30</v>
      </c>
      <c r="K16" s="16">
        <v>28</v>
      </c>
      <c r="L16" s="16">
        <v>16</v>
      </c>
      <c r="M16" s="80">
        <v>9.4499999999999993</v>
      </c>
      <c r="N16" s="103">
        <v>16</v>
      </c>
      <c r="O16" s="64">
        <v>7000</v>
      </c>
      <c r="P16" s="65">
        <f>Table2245789101123[[#This Row],[PEMBULATAN]]*O16</f>
        <v>112000</v>
      </c>
    </row>
    <row r="17" spans="1:16" ht="26.25" customHeight="1" x14ac:dyDescent="0.2">
      <c r="A17" s="14"/>
      <c r="B17" s="14"/>
      <c r="C17" s="72" t="s">
        <v>101</v>
      </c>
      <c r="D17" s="77" t="s">
        <v>83</v>
      </c>
      <c r="E17" s="13">
        <v>44471</v>
      </c>
      <c r="F17" s="75" t="s">
        <v>84</v>
      </c>
      <c r="G17" s="13">
        <v>44472.375</v>
      </c>
      <c r="H17" s="76" t="s">
        <v>116</v>
      </c>
      <c r="I17" s="16">
        <v>48</v>
      </c>
      <c r="J17" s="16">
        <v>30</v>
      </c>
      <c r="K17" s="16">
        <v>43</v>
      </c>
      <c r="L17" s="16">
        <v>12</v>
      </c>
      <c r="M17" s="80">
        <v>15.48</v>
      </c>
      <c r="N17" s="103">
        <v>16</v>
      </c>
      <c r="O17" s="64">
        <v>7000</v>
      </c>
      <c r="P17" s="65">
        <f>Table2245789101123[[#This Row],[PEMBULATAN]]*O17</f>
        <v>112000</v>
      </c>
    </row>
    <row r="18" spans="1:16" ht="26.25" customHeight="1" x14ac:dyDescent="0.2">
      <c r="A18" s="14"/>
      <c r="B18" s="14"/>
      <c r="C18" s="72" t="s">
        <v>102</v>
      </c>
      <c r="D18" s="77" t="s">
        <v>83</v>
      </c>
      <c r="E18" s="13">
        <v>44471</v>
      </c>
      <c r="F18" s="75" t="s">
        <v>84</v>
      </c>
      <c r="G18" s="13">
        <v>44472.375</v>
      </c>
      <c r="H18" s="76" t="s">
        <v>116</v>
      </c>
      <c r="I18" s="16">
        <v>40</v>
      </c>
      <c r="J18" s="16">
        <v>35</v>
      </c>
      <c r="K18" s="16">
        <v>15</v>
      </c>
      <c r="L18" s="16">
        <v>5</v>
      </c>
      <c r="M18" s="80">
        <v>5.25</v>
      </c>
      <c r="N18" s="103">
        <v>5.25</v>
      </c>
      <c r="O18" s="64">
        <v>7000</v>
      </c>
      <c r="P18" s="65">
        <f>Table2245789101123[[#This Row],[PEMBULATAN]]*O18</f>
        <v>36750</v>
      </c>
    </row>
    <row r="19" spans="1:16" ht="26.25" customHeight="1" x14ac:dyDescent="0.2">
      <c r="A19" s="14"/>
      <c r="B19" s="14"/>
      <c r="C19" s="95" t="s">
        <v>103</v>
      </c>
      <c r="D19" s="96" t="s">
        <v>83</v>
      </c>
      <c r="E19" s="97">
        <v>44471</v>
      </c>
      <c r="F19" s="98" t="s">
        <v>84</v>
      </c>
      <c r="G19" s="97">
        <v>44472.375</v>
      </c>
      <c r="H19" s="99" t="s">
        <v>116</v>
      </c>
      <c r="I19" s="100">
        <v>41</v>
      </c>
      <c r="J19" s="100">
        <v>32</v>
      </c>
      <c r="K19" s="100">
        <v>31</v>
      </c>
      <c r="L19" s="100">
        <v>6</v>
      </c>
      <c r="M19" s="101">
        <v>10.167999999999999</v>
      </c>
      <c r="N19" s="107">
        <v>10.167999999999999</v>
      </c>
      <c r="O19" s="64">
        <v>7000</v>
      </c>
      <c r="P19" s="65">
        <f>Table2245789101123[[#This Row],[PEMBULATAN]]*O19</f>
        <v>71176</v>
      </c>
    </row>
    <row r="20" spans="1:16" ht="26.25" customHeight="1" x14ac:dyDescent="0.2">
      <c r="A20" s="14"/>
      <c r="B20" s="110"/>
      <c r="C20" s="95" t="s">
        <v>104</v>
      </c>
      <c r="D20" s="96" t="s">
        <v>83</v>
      </c>
      <c r="E20" s="97">
        <v>44471</v>
      </c>
      <c r="F20" s="98" t="s">
        <v>84</v>
      </c>
      <c r="G20" s="97">
        <v>44472.375</v>
      </c>
      <c r="H20" s="99" t="s">
        <v>116</v>
      </c>
      <c r="I20" s="100">
        <v>135</v>
      </c>
      <c r="J20" s="100">
        <v>32</v>
      </c>
      <c r="K20" s="100">
        <v>32</v>
      </c>
      <c r="L20" s="100">
        <v>8</v>
      </c>
      <c r="M20" s="101">
        <v>34.56</v>
      </c>
      <c r="N20" s="107">
        <v>34.56</v>
      </c>
      <c r="O20" s="64">
        <v>7000</v>
      </c>
      <c r="P20" s="65">
        <f>Table2245789101123[[#This Row],[PEMBULATAN]]*O20</f>
        <v>241920.00000000003</v>
      </c>
    </row>
    <row r="21" spans="1:16" ht="26.25" customHeight="1" x14ac:dyDescent="0.2">
      <c r="A21" s="14"/>
      <c r="B21" s="14" t="s">
        <v>105</v>
      </c>
      <c r="C21" s="95" t="s">
        <v>106</v>
      </c>
      <c r="D21" s="96" t="s">
        <v>83</v>
      </c>
      <c r="E21" s="97">
        <v>44471</v>
      </c>
      <c r="F21" s="98" t="s">
        <v>84</v>
      </c>
      <c r="G21" s="97">
        <v>44472.375</v>
      </c>
      <c r="H21" s="99" t="s">
        <v>116</v>
      </c>
      <c r="I21" s="100">
        <v>60</v>
      </c>
      <c r="J21" s="100">
        <v>41</v>
      </c>
      <c r="K21" s="100">
        <v>20</v>
      </c>
      <c r="L21" s="100">
        <v>9</v>
      </c>
      <c r="M21" s="101">
        <v>12.3</v>
      </c>
      <c r="N21" s="107">
        <v>13</v>
      </c>
      <c r="O21" s="64">
        <v>7000</v>
      </c>
      <c r="P21" s="65">
        <f>Table2245789101123[[#This Row],[PEMBULATAN]]*O21</f>
        <v>91000</v>
      </c>
    </row>
    <row r="22" spans="1:16" ht="26.25" customHeight="1" x14ac:dyDescent="0.2">
      <c r="A22" s="14"/>
      <c r="B22" s="110"/>
      <c r="C22" s="95" t="s">
        <v>107</v>
      </c>
      <c r="D22" s="96" t="s">
        <v>83</v>
      </c>
      <c r="E22" s="97">
        <v>44471</v>
      </c>
      <c r="F22" s="98" t="s">
        <v>84</v>
      </c>
      <c r="G22" s="97">
        <v>44472.375</v>
      </c>
      <c r="H22" s="99" t="s">
        <v>116</v>
      </c>
      <c r="I22" s="100">
        <v>40</v>
      </c>
      <c r="J22" s="100">
        <v>21</v>
      </c>
      <c r="K22" s="100">
        <v>28</v>
      </c>
      <c r="L22" s="100">
        <v>10</v>
      </c>
      <c r="M22" s="101">
        <v>5.88</v>
      </c>
      <c r="N22" s="107">
        <v>10</v>
      </c>
      <c r="O22" s="64">
        <v>7000</v>
      </c>
      <c r="P22" s="65">
        <f>Table2245789101123[[#This Row],[PEMBULATAN]]*O22</f>
        <v>70000</v>
      </c>
    </row>
    <row r="23" spans="1:16" ht="26.25" customHeight="1" x14ac:dyDescent="0.2">
      <c r="A23" s="14"/>
      <c r="B23" s="14" t="s">
        <v>108</v>
      </c>
      <c r="C23" s="95" t="s">
        <v>109</v>
      </c>
      <c r="D23" s="96" t="s">
        <v>83</v>
      </c>
      <c r="E23" s="97">
        <v>44471</v>
      </c>
      <c r="F23" s="98" t="s">
        <v>84</v>
      </c>
      <c r="G23" s="97">
        <v>44472.375</v>
      </c>
      <c r="H23" s="99" t="s">
        <v>116</v>
      </c>
      <c r="I23" s="100">
        <v>50</v>
      </c>
      <c r="J23" s="100">
        <v>33</v>
      </c>
      <c r="K23" s="100">
        <v>33</v>
      </c>
      <c r="L23" s="100">
        <v>3</v>
      </c>
      <c r="M23" s="101">
        <v>13.612500000000001</v>
      </c>
      <c r="N23" s="107">
        <v>13.612500000000001</v>
      </c>
      <c r="O23" s="64">
        <v>7000</v>
      </c>
      <c r="P23" s="65">
        <f>Table2245789101123[[#This Row],[PEMBULATAN]]*O23</f>
        <v>95287.5</v>
      </c>
    </row>
    <row r="24" spans="1:16" ht="26.25" customHeight="1" x14ac:dyDescent="0.2">
      <c r="A24" s="14"/>
      <c r="B24" s="14"/>
      <c r="C24" s="95" t="s">
        <v>110</v>
      </c>
      <c r="D24" s="96" t="s">
        <v>83</v>
      </c>
      <c r="E24" s="97">
        <v>44471</v>
      </c>
      <c r="F24" s="98" t="s">
        <v>84</v>
      </c>
      <c r="G24" s="97">
        <v>44472.375</v>
      </c>
      <c r="H24" s="99" t="s">
        <v>116</v>
      </c>
      <c r="I24" s="100">
        <v>50</v>
      </c>
      <c r="J24" s="100">
        <v>33</v>
      </c>
      <c r="K24" s="100">
        <v>33</v>
      </c>
      <c r="L24" s="100">
        <v>3</v>
      </c>
      <c r="M24" s="101">
        <v>13.612500000000001</v>
      </c>
      <c r="N24" s="107">
        <v>13.612500000000001</v>
      </c>
      <c r="O24" s="64">
        <v>7000</v>
      </c>
      <c r="P24" s="65">
        <f>Table2245789101123[[#This Row],[PEMBULATAN]]*O24</f>
        <v>95287.5</v>
      </c>
    </row>
    <row r="25" spans="1:16" ht="26.25" customHeight="1" x14ac:dyDescent="0.2">
      <c r="A25" s="14"/>
      <c r="B25" s="14"/>
      <c r="C25" s="95" t="s">
        <v>111</v>
      </c>
      <c r="D25" s="96" t="s">
        <v>83</v>
      </c>
      <c r="E25" s="97">
        <v>44471</v>
      </c>
      <c r="F25" s="98" t="s">
        <v>84</v>
      </c>
      <c r="G25" s="97">
        <v>44472.375</v>
      </c>
      <c r="H25" s="99" t="s">
        <v>116</v>
      </c>
      <c r="I25" s="100">
        <v>64</v>
      </c>
      <c r="J25" s="100">
        <v>56</v>
      </c>
      <c r="K25" s="100">
        <v>22</v>
      </c>
      <c r="L25" s="100">
        <v>11</v>
      </c>
      <c r="M25" s="101">
        <v>19.712</v>
      </c>
      <c r="N25" s="107">
        <v>19.712</v>
      </c>
      <c r="O25" s="64">
        <v>7000</v>
      </c>
      <c r="P25" s="65">
        <f>Table2245789101123[[#This Row],[PEMBULATAN]]*O25</f>
        <v>137984</v>
      </c>
    </row>
    <row r="26" spans="1:16" ht="26.25" customHeight="1" x14ac:dyDescent="0.2">
      <c r="A26" s="14"/>
      <c r="B26" s="14"/>
      <c r="C26" s="95" t="s">
        <v>112</v>
      </c>
      <c r="D26" s="96" t="s">
        <v>83</v>
      </c>
      <c r="E26" s="97">
        <v>44471</v>
      </c>
      <c r="F26" s="98" t="s">
        <v>84</v>
      </c>
      <c r="G26" s="97">
        <v>44472.375</v>
      </c>
      <c r="H26" s="99" t="s">
        <v>116</v>
      </c>
      <c r="I26" s="100">
        <v>64</v>
      </c>
      <c r="J26" s="100">
        <v>56</v>
      </c>
      <c r="K26" s="100">
        <v>22</v>
      </c>
      <c r="L26" s="100">
        <v>11</v>
      </c>
      <c r="M26" s="101">
        <v>19.712</v>
      </c>
      <c r="N26" s="107">
        <v>19.712</v>
      </c>
      <c r="O26" s="64">
        <v>7000</v>
      </c>
      <c r="P26" s="65">
        <f>Table2245789101123[[#This Row],[PEMBULATAN]]*O26</f>
        <v>137984</v>
      </c>
    </row>
    <row r="27" spans="1:16" ht="26.25" customHeight="1" x14ac:dyDescent="0.2">
      <c r="A27" s="14"/>
      <c r="B27" s="14"/>
      <c r="C27" s="95" t="s">
        <v>113</v>
      </c>
      <c r="D27" s="96" t="s">
        <v>83</v>
      </c>
      <c r="E27" s="97">
        <v>44471</v>
      </c>
      <c r="F27" s="98" t="s">
        <v>84</v>
      </c>
      <c r="G27" s="97">
        <v>44472.375</v>
      </c>
      <c r="H27" s="99" t="s">
        <v>116</v>
      </c>
      <c r="I27" s="100">
        <v>64</v>
      </c>
      <c r="J27" s="100">
        <v>56</v>
      </c>
      <c r="K27" s="100">
        <v>22</v>
      </c>
      <c r="L27" s="100">
        <v>11</v>
      </c>
      <c r="M27" s="101">
        <v>19.712</v>
      </c>
      <c r="N27" s="107">
        <v>19.712</v>
      </c>
      <c r="O27" s="64">
        <v>7000</v>
      </c>
      <c r="P27" s="65">
        <f>Table2245789101123[[#This Row],[PEMBULATAN]]*O27</f>
        <v>137984</v>
      </c>
    </row>
    <row r="28" spans="1:16" ht="26.25" customHeight="1" x14ac:dyDescent="0.2">
      <c r="A28" s="14"/>
      <c r="B28" s="14"/>
      <c r="C28" s="95" t="s">
        <v>114</v>
      </c>
      <c r="D28" s="96" t="s">
        <v>83</v>
      </c>
      <c r="E28" s="97">
        <v>44471</v>
      </c>
      <c r="F28" s="98" t="s">
        <v>84</v>
      </c>
      <c r="G28" s="97">
        <v>44472.375</v>
      </c>
      <c r="H28" s="99" t="s">
        <v>116</v>
      </c>
      <c r="I28" s="100">
        <v>56</v>
      </c>
      <c r="J28" s="100">
        <v>34</v>
      </c>
      <c r="K28" s="100">
        <v>31</v>
      </c>
      <c r="L28" s="100">
        <v>15</v>
      </c>
      <c r="M28" s="101">
        <v>14.756</v>
      </c>
      <c r="N28" s="107">
        <v>15</v>
      </c>
      <c r="O28" s="64">
        <v>7000</v>
      </c>
      <c r="P28" s="65">
        <f>Table2245789101123[[#This Row],[PEMBULATAN]]*O28</f>
        <v>105000</v>
      </c>
    </row>
    <row r="29" spans="1:16" ht="26.25" customHeight="1" x14ac:dyDescent="0.2">
      <c r="A29" s="14"/>
      <c r="B29" s="14"/>
      <c r="C29" s="95" t="s">
        <v>115</v>
      </c>
      <c r="D29" s="96" t="s">
        <v>83</v>
      </c>
      <c r="E29" s="97">
        <v>44471</v>
      </c>
      <c r="F29" s="98" t="s">
        <v>84</v>
      </c>
      <c r="G29" s="97">
        <v>44472.375</v>
      </c>
      <c r="H29" s="99" t="s">
        <v>116</v>
      </c>
      <c r="I29" s="100">
        <v>64</v>
      </c>
      <c r="J29" s="100">
        <v>56</v>
      </c>
      <c r="K29" s="100">
        <v>22</v>
      </c>
      <c r="L29" s="100">
        <v>11</v>
      </c>
      <c r="M29" s="101">
        <v>19.712</v>
      </c>
      <c r="N29" s="107">
        <v>19.712</v>
      </c>
      <c r="O29" s="64">
        <v>7000</v>
      </c>
      <c r="P29" s="65">
        <f>Table2245789101123[[#This Row],[PEMBULATAN]]*O29</f>
        <v>137984</v>
      </c>
    </row>
    <row r="30" spans="1:16" ht="22.5" customHeight="1" x14ac:dyDescent="0.2">
      <c r="A30" s="143" t="s">
        <v>30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5"/>
      <c r="M30" s="78">
        <f>SUBTOTAL(109,Table2245789101123[KG VOLUME])</f>
        <v>471.82524999999998</v>
      </c>
      <c r="N30" s="68">
        <f>SUM(N3:N29)</f>
        <v>503.16199999999998</v>
      </c>
      <c r="O30" s="146">
        <f>SUM(P3:P29)</f>
        <v>3522134</v>
      </c>
      <c r="P30" s="147"/>
    </row>
    <row r="31" spans="1:16" ht="18" customHeight="1" x14ac:dyDescent="0.2">
      <c r="A31" s="85"/>
      <c r="B31" s="56" t="s">
        <v>42</v>
      </c>
      <c r="C31" s="55"/>
      <c r="D31" s="57" t="s">
        <v>43</v>
      </c>
      <c r="E31" s="85"/>
      <c r="F31" s="85"/>
      <c r="G31" s="85"/>
      <c r="H31" s="85"/>
      <c r="I31" s="85"/>
      <c r="J31" s="85"/>
      <c r="K31" s="85"/>
      <c r="L31" s="85"/>
      <c r="M31" s="86"/>
      <c r="N31" s="87" t="s">
        <v>52</v>
      </c>
      <c r="O31" s="88"/>
      <c r="P31" s="88">
        <v>0</v>
      </c>
    </row>
    <row r="32" spans="1:16" ht="18" customHeight="1" thickBot="1" x14ac:dyDescent="0.25">
      <c r="A32" s="85"/>
      <c r="B32" s="56"/>
      <c r="C32" s="55"/>
      <c r="D32" s="57"/>
      <c r="E32" s="85"/>
      <c r="F32" s="85"/>
      <c r="G32" s="85"/>
      <c r="H32" s="85"/>
      <c r="I32" s="85"/>
      <c r="J32" s="85"/>
      <c r="K32" s="85"/>
      <c r="L32" s="85"/>
      <c r="M32" s="86"/>
      <c r="N32" s="89" t="s">
        <v>53</v>
      </c>
      <c r="O32" s="90"/>
      <c r="P32" s="90">
        <f>O30-P31</f>
        <v>3522134</v>
      </c>
    </row>
    <row r="33" spans="1:16" ht="18" customHeight="1" x14ac:dyDescent="0.2">
      <c r="A33" s="11"/>
      <c r="H33" s="63"/>
      <c r="N33" s="62" t="s">
        <v>31</v>
      </c>
      <c r="P33" s="69">
        <f>P32*1%</f>
        <v>35221.340000000004</v>
      </c>
    </row>
    <row r="34" spans="1:16" ht="18" customHeight="1" thickBot="1" x14ac:dyDescent="0.25">
      <c r="A34" s="11"/>
      <c r="H34" s="63"/>
      <c r="N34" s="62" t="s">
        <v>54</v>
      </c>
      <c r="P34" s="71">
        <f>P32*2%</f>
        <v>70442.680000000008</v>
      </c>
    </row>
    <row r="35" spans="1:16" ht="18" customHeight="1" x14ac:dyDescent="0.2">
      <c r="A35" s="11"/>
      <c r="H35" s="63"/>
      <c r="N35" s="66" t="s">
        <v>32</v>
      </c>
      <c r="O35" s="67"/>
      <c r="P35" s="70">
        <f>P32+P33-P34</f>
        <v>3486912.6599999997</v>
      </c>
    </row>
    <row r="37" spans="1:16" x14ac:dyDescent="0.2">
      <c r="A37" s="11"/>
      <c r="H37" s="63"/>
      <c r="P37" s="71"/>
    </row>
    <row r="38" spans="1:16" x14ac:dyDescent="0.2">
      <c r="A38" s="11"/>
      <c r="H38" s="63"/>
      <c r="O38" s="58"/>
      <c r="P38" s="71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</sheetData>
  <mergeCells count="2">
    <mergeCell ref="A30:L30"/>
    <mergeCell ref="O30:P30"/>
  </mergeCells>
  <conditionalFormatting sqref="B3">
    <cfRule type="duplicateValues" dxfId="910" priority="2"/>
  </conditionalFormatting>
  <conditionalFormatting sqref="B4">
    <cfRule type="duplicateValues" dxfId="909" priority="1"/>
  </conditionalFormatting>
  <conditionalFormatting sqref="B5:B29">
    <cfRule type="duplicateValues" dxfId="908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2"/>
  <sheetViews>
    <sheetView zoomScale="110" zoomScaleNormal="110" workbookViewId="0">
      <pane xSplit="3" ySplit="2" topLeftCell="D25" activePane="bottomRight" state="frozen"/>
      <selection pane="topRight" activeCell="B1" sqref="B1"/>
      <selection pane="bottomLeft" activeCell="A3" sqref="A3"/>
      <selection pane="bottomRight" activeCell="I30" sqref="I3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402302</v>
      </c>
      <c r="B3" s="73" t="s">
        <v>579</v>
      </c>
      <c r="C3" s="9" t="s">
        <v>580</v>
      </c>
      <c r="D3" s="75" t="s">
        <v>83</v>
      </c>
      <c r="E3" s="13">
        <v>44488</v>
      </c>
      <c r="F3" s="75" t="s">
        <v>119</v>
      </c>
      <c r="G3" s="13" t="s">
        <v>581</v>
      </c>
      <c r="H3" s="10" t="s">
        <v>582</v>
      </c>
      <c r="I3" s="1">
        <v>63</v>
      </c>
      <c r="J3" s="1">
        <v>32</v>
      </c>
      <c r="K3" s="1">
        <v>15</v>
      </c>
      <c r="L3" s="1">
        <v>18</v>
      </c>
      <c r="M3" s="79">
        <v>7.56</v>
      </c>
      <c r="N3" s="103">
        <v>18</v>
      </c>
      <c r="O3" s="64">
        <v>7000</v>
      </c>
      <c r="P3" s="65">
        <f>Table224578910112345678910111213141516171819202122232425262728293031[[#This Row],[PEMBULATAN]]*O3</f>
        <v>126000</v>
      </c>
    </row>
    <row r="4" spans="1:16" ht="26.25" customHeight="1" x14ac:dyDescent="0.2">
      <c r="A4" s="14"/>
      <c r="B4" s="74"/>
      <c r="C4" s="9" t="s">
        <v>583</v>
      </c>
      <c r="D4" s="75" t="s">
        <v>83</v>
      </c>
      <c r="E4" s="13">
        <v>44488</v>
      </c>
      <c r="F4" s="75" t="s">
        <v>119</v>
      </c>
      <c r="G4" s="13" t="s">
        <v>581</v>
      </c>
      <c r="H4" s="10" t="s">
        <v>582</v>
      </c>
      <c r="I4" s="1">
        <v>30</v>
      </c>
      <c r="J4" s="1">
        <v>23</v>
      </c>
      <c r="K4" s="1">
        <v>19</v>
      </c>
      <c r="L4" s="1">
        <v>12</v>
      </c>
      <c r="M4" s="79">
        <v>3.2774999999999999</v>
      </c>
      <c r="N4" s="103">
        <v>12</v>
      </c>
      <c r="O4" s="64">
        <v>7000</v>
      </c>
      <c r="P4" s="65">
        <f>Table224578910112345678910111213141516171819202122232425262728293031[[#This Row],[PEMBULATAN]]*O4</f>
        <v>84000</v>
      </c>
    </row>
    <row r="5" spans="1:16" ht="26.25" customHeight="1" x14ac:dyDescent="0.2">
      <c r="A5" s="14"/>
      <c r="B5" s="74"/>
      <c r="C5" s="95" t="s">
        <v>584</v>
      </c>
      <c r="D5" s="96" t="s">
        <v>83</v>
      </c>
      <c r="E5" s="97">
        <v>44488</v>
      </c>
      <c r="F5" s="98" t="s">
        <v>119</v>
      </c>
      <c r="G5" s="97" t="s">
        <v>581</v>
      </c>
      <c r="H5" s="99" t="s">
        <v>582</v>
      </c>
      <c r="I5" s="100">
        <v>34</v>
      </c>
      <c r="J5" s="100">
        <v>30</v>
      </c>
      <c r="K5" s="100">
        <v>20</v>
      </c>
      <c r="L5" s="100">
        <v>11</v>
      </c>
      <c r="M5" s="101">
        <v>5.0999999999999996</v>
      </c>
      <c r="N5" s="107">
        <v>11</v>
      </c>
      <c r="O5" s="64">
        <v>7000</v>
      </c>
      <c r="P5" s="65">
        <f>Table224578910112345678910111213141516171819202122232425262728293031[[#This Row],[PEMBULATAN]]*O5</f>
        <v>77000</v>
      </c>
    </row>
    <row r="6" spans="1:16" ht="26.25" customHeight="1" x14ac:dyDescent="0.2">
      <c r="A6" s="14"/>
      <c r="B6" s="74"/>
      <c r="C6" s="95" t="s">
        <v>585</v>
      </c>
      <c r="D6" s="96" t="s">
        <v>83</v>
      </c>
      <c r="E6" s="97">
        <v>44488</v>
      </c>
      <c r="F6" s="98" t="s">
        <v>119</v>
      </c>
      <c r="G6" s="97" t="s">
        <v>581</v>
      </c>
      <c r="H6" s="99" t="s">
        <v>582</v>
      </c>
      <c r="I6" s="100">
        <v>67</v>
      </c>
      <c r="J6" s="100">
        <v>44</v>
      </c>
      <c r="K6" s="100">
        <v>44</v>
      </c>
      <c r="L6" s="100">
        <v>10</v>
      </c>
      <c r="M6" s="101">
        <v>32.427999999999997</v>
      </c>
      <c r="N6" s="107">
        <v>33</v>
      </c>
      <c r="O6" s="64">
        <v>7000</v>
      </c>
      <c r="P6" s="65">
        <f>Table224578910112345678910111213141516171819202122232425262728293031[[#This Row],[PEMBULATAN]]*O6</f>
        <v>231000</v>
      </c>
    </row>
    <row r="7" spans="1:16" ht="26.25" customHeight="1" x14ac:dyDescent="0.2">
      <c r="A7" s="14"/>
      <c r="B7" s="74"/>
      <c r="C7" s="95" t="s">
        <v>586</v>
      </c>
      <c r="D7" s="96" t="s">
        <v>83</v>
      </c>
      <c r="E7" s="97">
        <v>44488</v>
      </c>
      <c r="F7" s="98" t="s">
        <v>119</v>
      </c>
      <c r="G7" s="97" t="s">
        <v>581</v>
      </c>
      <c r="H7" s="99" t="s">
        <v>582</v>
      </c>
      <c r="I7" s="100">
        <v>60</v>
      </c>
      <c r="J7" s="100">
        <v>22</v>
      </c>
      <c r="K7" s="100">
        <v>18</v>
      </c>
      <c r="L7" s="100">
        <v>7</v>
      </c>
      <c r="M7" s="101">
        <v>5.94</v>
      </c>
      <c r="N7" s="107">
        <v>7</v>
      </c>
      <c r="O7" s="64">
        <v>7000</v>
      </c>
      <c r="P7" s="65">
        <f>Table224578910112345678910111213141516171819202122232425262728293031[[#This Row],[PEMBULATAN]]*O7</f>
        <v>49000</v>
      </c>
    </row>
    <row r="8" spans="1:16" ht="26.25" customHeight="1" x14ac:dyDescent="0.2">
      <c r="A8" s="14"/>
      <c r="B8" s="74"/>
      <c r="C8" s="95" t="s">
        <v>587</v>
      </c>
      <c r="D8" s="96" t="s">
        <v>83</v>
      </c>
      <c r="E8" s="97">
        <v>44488</v>
      </c>
      <c r="F8" s="98" t="s">
        <v>119</v>
      </c>
      <c r="G8" s="97" t="s">
        <v>581</v>
      </c>
      <c r="H8" s="99" t="s">
        <v>582</v>
      </c>
      <c r="I8" s="100">
        <v>60</v>
      </c>
      <c r="J8" s="100">
        <v>48</v>
      </c>
      <c r="K8" s="100">
        <v>37</v>
      </c>
      <c r="L8" s="100">
        <v>19</v>
      </c>
      <c r="M8" s="101">
        <v>26.64</v>
      </c>
      <c r="N8" s="107">
        <v>26.64</v>
      </c>
      <c r="O8" s="64">
        <v>7000</v>
      </c>
      <c r="P8" s="65">
        <f>Table224578910112345678910111213141516171819202122232425262728293031[[#This Row],[PEMBULATAN]]*O8</f>
        <v>186480</v>
      </c>
    </row>
    <row r="9" spans="1:16" ht="26.25" customHeight="1" x14ac:dyDescent="0.2">
      <c r="A9" s="14"/>
      <c r="B9" s="74"/>
      <c r="C9" s="95" t="s">
        <v>588</v>
      </c>
      <c r="D9" s="96" t="s">
        <v>83</v>
      </c>
      <c r="E9" s="97">
        <v>44488</v>
      </c>
      <c r="F9" s="98" t="s">
        <v>119</v>
      </c>
      <c r="G9" s="97" t="s">
        <v>581</v>
      </c>
      <c r="H9" s="99" t="s">
        <v>582</v>
      </c>
      <c r="I9" s="100">
        <v>38</v>
      </c>
      <c r="J9" s="100">
        <v>25</v>
      </c>
      <c r="K9" s="100">
        <v>11</v>
      </c>
      <c r="L9" s="100">
        <v>4</v>
      </c>
      <c r="M9" s="101">
        <v>2.6124999999999998</v>
      </c>
      <c r="N9" s="107">
        <v>4</v>
      </c>
      <c r="O9" s="64">
        <v>7000</v>
      </c>
      <c r="P9" s="65">
        <f>Table224578910112345678910111213141516171819202122232425262728293031[[#This Row],[PEMBULATAN]]*O9</f>
        <v>28000</v>
      </c>
    </row>
    <row r="10" spans="1:16" ht="26.25" customHeight="1" x14ac:dyDescent="0.2">
      <c r="A10" s="14"/>
      <c r="B10" s="74"/>
      <c r="C10" s="95" t="s">
        <v>589</v>
      </c>
      <c r="D10" s="96" t="s">
        <v>83</v>
      </c>
      <c r="E10" s="97">
        <v>44488</v>
      </c>
      <c r="F10" s="98" t="s">
        <v>119</v>
      </c>
      <c r="G10" s="97" t="s">
        <v>581</v>
      </c>
      <c r="H10" s="99" t="s">
        <v>582</v>
      </c>
      <c r="I10" s="100">
        <v>76</v>
      </c>
      <c r="J10" s="100">
        <v>38</v>
      </c>
      <c r="K10" s="100">
        <v>22</v>
      </c>
      <c r="L10" s="100">
        <v>12</v>
      </c>
      <c r="M10" s="101">
        <v>15.884</v>
      </c>
      <c r="N10" s="107">
        <v>15.884</v>
      </c>
      <c r="O10" s="64">
        <v>7000</v>
      </c>
      <c r="P10" s="65">
        <f>Table224578910112345678910111213141516171819202122232425262728293031[[#This Row],[PEMBULATAN]]*O10</f>
        <v>111188</v>
      </c>
    </row>
    <row r="11" spans="1:16" ht="26.25" customHeight="1" x14ac:dyDescent="0.2">
      <c r="A11" s="14"/>
      <c r="B11" s="74"/>
      <c r="C11" s="95" t="s">
        <v>590</v>
      </c>
      <c r="D11" s="96" t="s">
        <v>83</v>
      </c>
      <c r="E11" s="97">
        <v>44488</v>
      </c>
      <c r="F11" s="98" t="s">
        <v>119</v>
      </c>
      <c r="G11" s="97" t="s">
        <v>581</v>
      </c>
      <c r="H11" s="99" t="s">
        <v>582</v>
      </c>
      <c r="I11" s="100">
        <v>58</v>
      </c>
      <c r="J11" s="100">
        <v>38</v>
      </c>
      <c r="K11" s="100">
        <v>33</v>
      </c>
      <c r="L11" s="100">
        <v>15</v>
      </c>
      <c r="M11" s="101">
        <v>18.183</v>
      </c>
      <c r="N11" s="107">
        <v>18.183</v>
      </c>
      <c r="O11" s="64">
        <v>7000</v>
      </c>
      <c r="P11" s="65">
        <f>Table224578910112345678910111213141516171819202122232425262728293031[[#This Row],[PEMBULATAN]]*O11</f>
        <v>127281</v>
      </c>
    </row>
    <row r="12" spans="1:16" ht="26.25" customHeight="1" x14ac:dyDescent="0.2">
      <c r="A12" s="14"/>
      <c r="B12" s="74"/>
      <c r="C12" s="95" t="s">
        <v>591</v>
      </c>
      <c r="D12" s="96" t="s">
        <v>83</v>
      </c>
      <c r="E12" s="97">
        <v>44488</v>
      </c>
      <c r="F12" s="98" t="s">
        <v>119</v>
      </c>
      <c r="G12" s="97" t="s">
        <v>581</v>
      </c>
      <c r="H12" s="99" t="s">
        <v>582</v>
      </c>
      <c r="I12" s="100">
        <v>68</v>
      </c>
      <c r="J12" s="100">
        <v>25</v>
      </c>
      <c r="K12" s="100">
        <v>28</v>
      </c>
      <c r="L12" s="100">
        <v>6</v>
      </c>
      <c r="M12" s="101">
        <v>11.9</v>
      </c>
      <c r="N12" s="107">
        <v>11.9</v>
      </c>
      <c r="O12" s="64">
        <v>7000</v>
      </c>
      <c r="P12" s="65">
        <f>Table224578910112345678910111213141516171819202122232425262728293031[[#This Row],[PEMBULATAN]]*O12</f>
        <v>83300</v>
      </c>
    </row>
    <row r="13" spans="1:16" ht="26.25" customHeight="1" x14ac:dyDescent="0.2">
      <c r="A13" s="14"/>
      <c r="B13" s="108"/>
      <c r="C13" s="95" t="s">
        <v>592</v>
      </c>
      <c r="D13" s="96" t="s">
        <v>83</v>
      </c>
      <c r="E13" s="97">
        <v>44488</v>
      </c>
      <c r="F13" s="98" t="s">
        <v>119</v>
      </c>
      <c r="G13" s="97" t="s">
        <v>581</v>
      </c>
      <c r="H13" s="99" t="s">
        <v>582</v>
      </c>
      <c r="I13" s="100">
        <v>58</v>
      </c>
      <c r="J13" s="100">
        <v>27</v>
      </c>
      <c r="K13" s="100">
        <v>20</v>
      </c>
      <c r="L13" s="100">
        <v>10</v>
      </c>
      <c r="M13" s="101">
        <v>7.83</v>
      </c>
      <c r="N13" s="107">
        <v>10</v>
      </c>
      <c r="O13" s="64">
        <v>7000</v>
      </c>
      <c r="P13" s="65">
        <f>Table224578910112345678910111213141516171819202122232425262728293031[[#This Row],[PEMBULATAN]]*O13</f>
        <v>70000</v>
      </c>
    </row>
    <row r="14" spans="1:16" ht="26.25" customHeight="1" x14ac:dyDescent="0.2">
      <c r="A14" s="14"/>
      <c r="B14" s="74" t="s">
        <v>593</v>
      </c>
      <c r="C14" s="95" t="s">
        <v>594</v>
      </c>
      <c r="D14" s="96" t="s">
        <v>83</v>
      </c>
      <c r="E14" s="97">
        <v>44488</v>
      </c>
      <c r="F14" s="98" t="s">
        <v>119</v>
      </c>
      <c r="G14" s="97" t="s">
        <v>581</v>
      </c>
      <c r="H14" s="99" t="s">
        <v>582</v>
      </c>
      <c r="I14" s="100">
        <v>53</v>
      </c>
      <c r="J14" s="100">
        <v>37</v>
      </c>
      <c r="K14" s="100">
        <v>20</v>
      </c>
      <c r="L14" s="100">
        <v>5</v>
      </c>
      <c r="M14" s="101">
        <v>9.8049999999999997</v>
      </c>
      <c r="N14" s="107">
        <v>9.8049999999999997</v>
      </c>
      <c r="O14" s="64">
        <v>7000</v>
      </c>
      <c r="P14" s="65">
        <f>Table224578910112345678910111213141516171819202122232425262728293031[[#This Row],[PEMBULATAN]]*O14</f>
        <v>68635</v>
      </c>
    </row>
    <row r="15" spans="1:16" ht="26.25" customHeight="1" x14ac:dyDescent="0.2">
      <c r="A15" s="14"/>
      <c r="B15" s="74"/>
      <c r="C15" s="95" t="s">
        <v>595</v>
      </c>
      <c r="D15" s="96" t="s">
        <v>83</v>
      </c>
      <c r="E15" s="97">
        <v>44488</v>
      </c>
      <c r="F15" s="98" t="s">
        <v>119</v>
      </c>
      <c r="G15" s="97" t="s">
        <v>581</v>
      </c>
      <c r="H15" s="99" t="s">
        <v>582</v>
      </c>
      <c r="I15" s="100">
        <v>88</v>
      </c>
      <c r="J15" s="100">
        <v>43</v>
      </c>
      <c r="K15" s="100">
        <v>23</v>
      </c>
      <c r="L15" s="100">
        <v>12</v>
      </c>
      <c r="M15" s="101">
        <v>21.757999999999999</v>
      </c>
      <c r="N15" s="107">
        <v>21.757999999999999</v>
      </c>
      <c r="O15" s="64">
        <v>7000</v>
      </c>
      <c r="P15" s="65">
        <f>Table224578910112345678910111213141516171819202122232425262728293031[[#This Row],[PEMBULATAN]]*O15</f>
        <v>152306</v>
      </c>
    </row>
    <row r="16" spans="1:16" ht="26.25" customHeight="1" x14ac:dyDescent="0.2">
      <c r="A16" s="14"/>
      <c r="B16" s="74"/>
      <c r="C16" s="95" t="s">
        <v>596</v>
      </c>
      <c r="D16" s="96" t="s">
        <v>83</v>
      </c>
      <c r="E16" s="97">
        <v>44488</v>
      </c>
      <c r="F16" s="98" t="s">
        <v>119</v>
      </c>
      <c r="G16" s="97" t="s">
        <v>581</v>
      </c>
      <c r="H16" s="99" t="s">
        <v>582</v>
      </c>
      <c r="I16" s="100">
        <v>50</v>
      </c>
      <c r="J16" s="100">
        <v>40</v>
      </c>
      <c r="K16" s="100">
        <v>33</v>
      </c>
      <c r="L16" s="100">
        <v>15</v>
      </c>
      <c r="M16" s="101">
        <v>16.5</v>
      </c>
      <c r="N16" s="107">
        <v>16.5</v>
      </c>
      <c r="O16" s="64">
        <v>7000</v>
      </c>
      <c r="P16" s="65">
        <f>Table224578910112345678910111213141516171819202122232425262728293031[[#This Row],[PEMBULATAN]]*O16</f>
        <v>115500</v>
      </c>
    </row>
    <row r="17" spans="1:16" ht="26.25" customHeight="1" x14ac:dyDescent="0.2">
      <c r="A17" s="14"/>
      <c r="B17" s="74"/>
      <c r="C17" s="95" t="s">
        <v>597</v>
      </c>
      <c r="D17" s="96" t="s">
        <v>83</v>
      </c>
      <c r="E17" s="97">
        <v>44488</v>
      </c>
      <c r="F17" s="98" t="s">
        <v>119</v>
      </c>
      <c r="G17" s="97" t="s">
        <v>581</v>
      </c>
      <c r="H17" s="99" t="s">
        <v>582</v>
      </c>
      <c r="I17" s="100">
        <v>40</v>
      </c>
      <c r="J17" s="100">
        <v>43</v>
      </c>
      <c r="K17" s="100">
        <v>36</v>
      </c>
      <c r="L17" s="100">
        <v>5</v>
      </c>
      <c r="M17" s="101">
        <v>15.48</v>
      </c>
      <c r="N17" s="107">
        <v>16</v>
      </c>
      <c r="O17" s="64">
        <v>7000</v>
      </c>
      <c r="P17" s="65">
        <f>Table224578910112345678910111213141516171819202122232425262728293031[[#This Row],[PEMBULATAN]]*O17</f>
        <v>112000</v>
      </c>
    </row>
    <row r="18" spans="1:16" ht="26.25" customHeight="1" x14ac:dyDescent="0.2">
      <c r="A18" s="14"/>
      <c r="B18" s="74"/>
      <c r="C18" s="95" t="s">
        <v>598</v>
      </c>
      <c r="D18" s="96" t="s">
        <v>83</v>
      </c>
      <c r="E18" s="97">
        <v>44488</v>
      </c>
      <c r="F18" s="98" t="s">
        <v>119</v>
      </c>
      <c r="G18" s="97" t="s">
        <v>581</v>
      </c>
      <c r="H18" s="99" t="s">
        <v>582</v>
      </c>
      <c r="I18" s="100">
        <v>66</v>
      </c>
      <c r="J18" s="100">
        <v>56</v>
      </c>
      <c r="K18" s="100">
        <v>23</v>
      </c>
      <c r="L18" s="100">
        <v>6</v>
      </c>
      <c r="M18" s="101">
        <v>21.251999999999999</v>
      </c>
      <c r="N18" s="107">
        <v>21.251999999999999</v>
      </c>
      <c r="O18" s="64">
        <v>7000</v>
      </c>
      <c r="P18" s="65">
        <f>Table224578910112345678910111213141516171819202122232425262728293031[[#This Row],[PEMBULATAN]]*O18</f>
        <v>148764</v>
      </c>
    </row>
    <row r="19" spans="1:16" ht="26.25" customHeight="1" x14ac:dyDescent="0.2">
      <c r="A19" s="14"/>
      <c r="B19" s="108"/>
      <c r="C19" s="95" t="s">
        <v>599</v>
      </c>
      <c r="D19" s="96" t="s">
        <v>83</v>
      </c>
      <c r="E19" s="97">
        <v>44488</v>
      </c>
      <c r="F19" s="98" t="s">
        <v>119</v>
      </c>
      <c r="G19" s="97" t="s">
        <v>581</v>
      </c>
      <c r="H19" s="99" t="s">
        <v>582</v>
      </c>
      <c r="I19" s="100">
        <v>39</v>
      </c>
      <c r="J19" s="100">
        <v>40</v>
      </c>
      <c r="K19" s="100">
        <v>34</v>
      </c>
      <c r="L19" s="100">
        <v>5</v>
      </c>
      <c r="M19" s="101">
        <v>13.26</v>
      </c>
      <c r="N19" s="107">
        <v>13.26</v>
      </c>
      <c r="O19" s="64">
        <v>7000</v>
      </c>
      <c r="P19" s="65">
        <f>Table224578910112345678910111213141516171819202122232425262728293031[[#This Row],[PEMBULATAN]]*O19</f>
        <v>92820</v>
      </c>
    </row>
    <row r="20" spans="1:16" ht="26.25" customHeight="1" x14ac:dyDescent="0.2">
      <c r="A20" s="14"/>
      <c r="B20" s="74" t="s">
        <v>600</v>
      </c>
      <c r="C20" s="95" t="s">
        <v>601</v>
      </c>
      <c r="D20" s="96" t="s">
        <v>83</v>
      </c>
      <c r="E20" s="97">
        <v>44488</v>
      </c>
      <c r="F20" s="98" t="s">
        <v>119</v>
      </c>
      <c r="G20" s="97" t="s">
        <v>581</v>
      </c>
      <c r="H20" s="99" t="s">
        <v>582</v>
      </c>
      <c r="I20" s="100">
        <v>43</v>
      </c>
      <c r="J20" s="100">
        <v>29</v>
      </c>
      <c r="K20" s="100">
        <v>28</v>
      </c>
      <c r="L20" s="100">
        <v>9</v>
      </c>
      <c r="M20" s="101">
        <v>8.7289999999999992</v>
      </c>
      <c r="N20" s="107">
        <v>9</v>
      </c>
      <c r="O20" s="64">
        <v>7000</v>
      </c>
      <c r="P20" s="65">
        <f>Table224578910112345678910111213141516171819202122232425262728293031[[#This Row],[PEMBULATAN]]*O20</f>
        <v>63000</v>
      </c>
    </row>
    <row r="21" spans="1:16" ht="26.25" customHeight="1" x14ac:dyDescent="0.2">
      <c r="A21" s="14"/>
      <c r="B21" s="74"/>
      <c r="C21" s="95" t="s">
        <v>602</v>
      </c>
      <c r="D21" s="96" t="s">
        <v>83</v>
      </c>
      <c r="E21" s="97">
        <v>44488</v>
      </c>
      <c r="F21" s="98" t="s">
        <v>119</v>
      </c>
      <c r="G21" s="97" t="s">
        <v>581</v>
      </c>
      <c r="H21" s="99" t="s">
        <v>582</v>
      </c>
      <c r="I21" s="100">
        <v>75</v>
      </c>
      <c r="J21" s="100">
        <v>36</v>
      </c>
      <c r="K21" s="100">
        <v>18</v>
      </c>
      <c r="L21" s="100">
        <v>12</v>
      </c>
      <c r="M21" s="101">
        <v>12.15</v>
      </c>
      <c r="N21" s="107">
        <v>12.15</v>
      </c>
      <c r="O21" s="64">
        <v>7000</v>
      </c>
      <c r="P21" s="65">
        <f>Table224578910112345678910111213141516171819202122232425262728293031[[#This Row],[PEMBULATAN]]*O21</f>
        <v>85050</v>
      </c>
    </row>
    <row r="22" spans="1:16" ht="26.25" customHeight="1" x14ac:dyDescent="0.2">
      <c r="A22" s="14"/>
      <c r="B22" s="74"/>
      <c r="C22" s="95" t="s">
        <v>603</v>
      </c>
      <c r="D22" s="96" t="s">
        <v>83</v>
      </c>
      <c r="E22" s="97">
        <v>44488</v>
      </c>
      <c r="F22" s="98" t="s">
        <v>119</v>
      </c>
      <c r="G22" s="97" t="s">
        <v>581</v>
      </c>
      <c r="H22" s="99" t="s">
        <v>582</v>
      </c>
      <c r="I22" s="100">
        <v>75</v>
      </c>
      <c r="J22" s="100">
        <v>36</v>
      </c>
      <c r="K22" s="100">
        <v>18</v>
      </c>
      <c r="L22" s="100">
        <v>12</v>
      </c>
      <c r="M22" s="101">
        <v>12.15</v>
      </c>
      <c r="N22" s="107">
        <v>12.15</v>
      </c>
      <c r="O22" s="64">
        <v>7000</v>
      </c>
      <c r="P22" s="65">
        <f>Table224578910112345678910111213141516171819202122232425262728293031[[#This Row],[PEMBULATAN]]*O22</f>
        <v>85050</v>
      </c>
    </row>
    <row r="23" spans="1:16" ht="26.25" customHeight="1" x14ac:dyDescent="0.2">
      <c r="A23" s="14"/>
      <c r="B23" s="74"/>
      <c r="C23" s="95" t="s">
        <v>604</v>
      </c>
      <c r="D23" s="96" t="s">
        <v>83</v>
      </c>
      <c r="E23" s="97">
        <v>44488</v>
      </c>
      <c r="F23" s="98" t="s">
        <v>119</v>
      </c>
      <c r="G23" s="97" t="s">
        <v>581</v>
      </c>
      <c r="H23" s="99" t="s">
        <v>582</v>
      </c>
      <c r="I23" s="100">
        <v>37</v>
      </c>
      <c r="J23" s="100">
        <v>36</v>
      </c>
      <c r="K23" s="100">
        <v>19</v>
      </c>
      <c r="L23" s="100">
        <v>12</v>
      </c>
      <c r="M23" s="101">
        <v>6.327</v>
      </c>
      <c r="N23" s="107">
        <v>12</v>
      </c>
      <c r="O23" s="64">
        <v>7000</v>
      </c>
      <c r="P23" s="65">
        <f>Table224578910112345678910111213141516171819202122232425262728293031[[#This Row],[PEMBULATAN]]*O23</f>
        <v>84000</v>
      </c>
    </row>
    <row r="24" spans="1:16" ht="26.25" customHeight="1" x14ac:dyDescent="0.2">
      <c r="A24" s="14"/>
      <c r="B24" s="74"/>
      <c r="C24" s="95" t="s">
        <v>605</v>
      </c>
      <c r="D24" s="96" t="s">
        <v>83</v>
      </c>
      <c r="E24" s="97">
        <v>44488</v>
      </c>
      <c r="F24" s="98" t="s">
        <v>119</v>
      </c>
      <c r="G24" s="97" t="s">
        <v>581</v>
      </c>
      <c r="H24" s="99" t="s">
        <v>582</v>
      </c>
      <c r="I24" s="100">
        <v>37</v>
      </c>
      <c r="J24" s="100">
        <v>36</v>
      </c>
      <c r="K24" s="100">
        <v>19</v>
      </c>
      <c r="L24" s="100">
        <v>12</v>
      </c>
      <c r="M24" s="101">
        <v>6.327</v>
      </c>
      <c r="N24" s="107">
        <v>12</v>
      </c>
      <c r="O24" s="64">
        <v>7000</v>
      </c>
      <c r="P24" s="65">
        <f>Table224578910112345678910111213141516171819202122232425262728293031[[#This Row],[PEMBULATAN]]*O24</f>
        <v>84000</v>
      </c>
    </row>
    <row r="25" spans="1:16" ht="26.25" customHeight="1" x14ac:dyDescent="0.2">
      <c r="A25" s="14"/>
      <c r="B25" s="74"/>
      <c r="C25" s="95" t="s">
        <v>606</v>
      </c>
      <c r="D25" s="96" t="s">
        <v>83</v>
      </c>
      <c r="E25" s="97">
        <v>44488</v>
      </c>
      <c r="F25" s="98" t="s">
        <v>119</v>
      </c>
      <c r="G25" s="97" t="s">
        <v>581</v>
      </c>
      <c r="H25" s="99" t="s">
        <v>582</v>
      </c>
      <c r="I25" s="100">
        <v>37</v>
      </c>
      <c r="J25" s="100">
        <v>36</v>
      </c>
      <c r="K25" s="100">
        <v>19</v>
      </c>
      <c r="L25" s="100">
        <v>12</v>
      </c>
      <c r="M25" s="101">
        <v>6.327</v>
      </c>
      <c r="N25" s="107">
        <v>12</v>
      </c>
      <c r="O25" s="64">
        <v>7000</v>
      </c>
      <c r="P25" s="65">
        <f>Table224578910112345678910111213141516171819202122232425262728293031[[#This Row],[PEMBULATAN]]*O25</f>
        <v>84000</v>
      </c>
    </row>
    <row r="26" spans="1:16" ht="26.25" customHeight="1" x14ac:dyDescent="0.2">
      <c r="A26" s="14"/>
      <c r="B26" s="74"/>
      <c r="C26" s="95" t="s">
        <v>607</v>
      </c>
      <c r="D26" s="96" t="s">
        <v>83</v>
      </c>
      <c r="E26" s="97">
        <v>44488</v>
      </c>
      <c r="F26" s="98" t="s">
        <v>119</v>
      </c>
      <c r="G26" s="97" t="s">
        <v>581</v>
      </c>
      <c r="H26" s="99" t="s">
        <v>582</v>
      </c>
      <c r="I26" s="100">
        <v>50</v>
      </c>
      <c r="J26" s="100">
        <v>35</v>
      </c>
      <c r="K26" s="100">
        <v>31</v>
      </c>
      <c r="L26" s="100">
        <v>17</v>
      </c>
      <c r="M26" s="101">
        <v>13.5625</v>
      </c>
      <c r="N26" s="107">
        <v>17</v>
      </c>
      <c r="O26" s="64">
        <v>7000</v>
      </c>
      <c r="P26" s="65">
        <f>Table224578910112345678910111213141516171819202122232425262728293031[[#This Row],[PEMBULATAN]]*O26</f>
        <v>119000</v>
      </c>
    </row>
    <row r="27" spans="1:16" ht="26.25" customHeight="1" x14ac:dyDescent="0.2">
      <c r="A27" s="14"/>
      <c r="B27" s="74"/>
      <c r="C27" s="95" t="s">
        <v>608</v>
      </c>
      <c r="D27" s="96" t="s">
        <v>83</v>
      </c>
      <c r="E27" s="97">
        <v>44488</v>
      </c>
      <c r="F27" s="98" t="s">
        <v>119</v>
      </c>
      <c r="G27" s="97" t="s">
        <v>581</v>
      </c>
      <c r="H27" s="99" t="s">
        <v>582</v>
      </c>
      <c r="I27" s="100">
        <v>43</v>
      </c>
      <c r="J27" s="100">
        <v>34</v>
      </c>
      <c r="K27" s="100">
        <v>31</v>
      </c>
      <c r="L27" s="100">
        <v>9</v>
      </c>
      <c r="M27" s="101">
        <v>11.330500000000001</v>
      </c>
      <c r="N27" s="107">
        <v>12</v>
      </c>
      <c r="O27" s="64">
        <v>7000</v>
      </c>
      <c r="P27" s="65">
        <f>Table224578910112345678910111213141516171819202122232425262728293031[[#This Row],[PEMBULATAN]]*O27</f>
        <v>84000</v>
      </c>
    </row>
    <row r="28" spans="1:16" ht="26.25" customHeight="1" x14ac:dyDescent="0.2">
      <c r="A28" s="14"/>
      <c r="B28" s="74"/>
      <c r="C28" s="95" t="s">
        <v>609</v>
      </c>
      <c r="D28" s="96" t="s">
        <v>83</v>
      </c>
      <c r="E28" s="97">
        <v>44488</v>
      </c>
      <c r="F28" s="98" t="s">
        <v>119</v>
      </c>
      <c r="G28" s="97" t="s">
        <v>581</v>
      </c>
      <c r="H28" s="99" t="s">
        <v>582</v>
      </c>
      <c r="I28" s="100">
        <v>32</v>
      </c>
      <c r="J28" s="100">
        <v>23</v>
      </c>
      <c r="K28" s="100">
        <v>19</v>
      </c>
      <c r="L28" s="100">
        <v>7</v>
      </c>
      <c r="M28" s="101">
        <v>3.496</v>
      </c>
      <c r="N28" s="107">
        <v>7</v>
      </c>
      <c r="O28" s="64">
        <v>7000</v>
      </c>
      <c r="P28" s="65">
        <f>Table224578910112345678910111213141516171819202122232425262728293031[[#This Row],[PEMBULATAN]]*O28</f>
        <v>49000</v>
      </c>
    </row>
    <row r="29" spans="1:16" ht="26.25" customHeight="1" x14ac:dyDescent="0.2">
      <c r="A29" s="14"/>
      <c r="B29" s="74"/>
      <c r="C29" s="95" t="s">
        <v>610</v>
      </c>
      <c r="D29" s="96" t="s">
        <v>83</v>
      </c>
      <c r="E29" s="97">
        <v>44488</v>
      </c>
      <c r="F29" s="98" t="s">
        <v>119</v>
      </c>
      <c r="G29" s="97" t="s">
        <v>581</v>
      </c>
      <c r="H29" s="99" t="s">
        <v>582</v>
      </c>
      <c r="I29" s="100">
        <v>42</v>
      </c>
      <c r="J29" s="100">
        <v>34</v>
      </c>
      <c r="K29" s="100">
        <v>30</v>
      </c>
      <c r="L29" s="100">
        <v>9</v>
      </c>
      <c r="M29" s="101">
        <v>10.71</v>
      </c>
      <c r="N29" s="107">
        <v>10.71</v>
      </c>
      <c r="O29" s="64">
        <v>7000</v>
      </c>
      <c r="P29" s="65">
        <f>Table224578910112345678910111213141516171819202122232425262728293031[[#This Row],[PEMBULATAN]]*O29</f>
        <v>74970</v>
      </c>
    </row>
    <row r="30" spans="1:16" ht="26.25" customHeight="1" x14ac:dyDescent="0.2">
      <c r="A30" s="14"/>
      <c r="B30" s="74"/>
      <c r="C30" s="95" t="s">
        <v>611</v>
      </c>
      <c r="D30" s="96" t="s">
        <v>83</v>
      </c>
      <c r="E30" s="97">
        <v>44488</v>
      </c>
      <c r="F30" s="98" t="s">
        <v>119</v>
      </c>
      <c r="G30" s="97" t="s">
        <v>581</v>
      </c>
      <c r="H30" s="99" t="s">
        <v>582</v>
      </c>
      <c r="I30" s="100">
        <v>46</v>
      </c>
      <c r="J30" s="100">
        <v>27</v>
      </c>
      <c r="K30" s="100">
        <v>16</v>
      </c>
      <c r="L30" s="100">
        <v>4</v>
      </c>
      <c r="M30" s="101">
        <v>4.968</v>
      </c>
      <c r="N30" s="107">
        <v>4.968</v>
      </c>
      <c r="O30" s="64">
        <v>7000</v>
      </c>
      <c r="P30" s="65">
        <f>Table224578910112345678910111213141516171819202122232425262728293031[[#This Row],[PEMBULATAN]]*O30</f>
        <v>34776</v>
      </c>
    </row>
    <row r="31" spans="1:16" ht="26.25" customHeight="1" x14ac:dyDescent="0.2">
      <c r="A31" s="14"/>
      <c r="B31" s="74"/>
      <c r="C31" s="95" t="s">
        <v>612</v>
      </c>
      <c r="D31" s="96" t="s">
        <v>83</v>
      </c>
      <c r="E31" s="97">
        <v>44488</v>
      </c>
      <c r="F31" s="98" t="s">
        <v>119</v>
      </c>
      <c r="G31" s="97" t="s">
        <v>581</v>
      </c>
      <c r="H31" s="99" t="s">
        <v>582</v>
      </c>
      <c r="I31" s="100">
        <v>37</v>
      </c>
      <c r="J31" s="100">
        <v>36</v>
      </c>
      <c r="K31" s="100">
        <v>19</v>
      </c>
      <c r="L31" s="100">
        <v>12</v>
      </c>
      <c r="M31" s="101">
        <v>6.327</v>
      </c>
      <c r="N31" s="107">
        <v>12</v>
      </c>
      <c r="O31" s="64">
        <v>7000</v>
      </c>
      <c r="P31" s="65">
        <f>Table224578910112345678910111213141516171819202122232425262728293031[[#This Row],[PEMBULATAN]]*O31</f>
        <v>84000</v>
      </c>
    </row>
    <row r="32" spans="1:16" ht="22.5" customHeight="1" x14ac:dyDescent="0.2">
      <c r="A32" s="143" t="s">
        <v>30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5"/>
      <c r="M32" s="78">
        <f>SUBTOTAL(109,Table224578910112345678910111213141516171819202122232425262728293031[KG VOLUME])</f>
        <v>337.81399999999996</v>
      </c>
      <c r="N32" s="68">
        <f>SUM(N3:N31)</f>
        <v>399.15999999999997</v>
      </c>
      <c r="O32" s="146">
        <f>SUM(P3:P31)</f>
        <v>2794120</v>
      </c>
      <c r="P32" s="147"/>
    </row>
    <row r="33" spans="1:16" ht="18" customHeight="1" x14ac:dyDescent="0.2">
      <c r="A33" s="85"/>
      <c r="B33" s="56" t="s">
        <v>42</v>
      </c>
      <c r="C33" s="55"/>
      <c r="D33" s="57" t="s">
        <v>43</v>
      </c>
      <c r="E33" s="85"/>
      <c r="F33" s="85"/>
      <c r="G33" s="85"/>
      <c r="H33" s="85"/>
      <c r="I33" s="85"/>
      <c r="J33" s="85"/>
      <c r="K33" s="85"/>
      <c r="L33" s="85"/>
      <c r="M33" s="86"/>
      <c r="N33" s="87" t="s">
        <v>52</v>
      </c>
      <c r="O33" s="88"/>
      <c r="P33" s="88">
        <v>0</v>
      </c>
    </row>
    <row r="34" spans="1:16" ht="18" customHeight="1" thickBot="1" x14ac:dyDescent="0.25">
      <c r="A34" s="85"/>
      <c r="B34" s="56"/>
      <c r="C34" s="55"/>
      <c r="D34" s="57"/>
      <c r="E34" s="85"/>
      <c r="F34" s="85"/>
      <c r="G34" s="85"/>
      <c r="H34" s="85"/>
      <c r="I34" s="85"/>
      <c r="J34" s="85"/>
      <c r="K34" s="85"/>
      <c r="L34" s="85"/>
      <c r="M34" s="86"/>
      <c r="N34" s="89" t="s">
        <v>53</v>
      </c>
      <c r="O34" s="90"/>
      <c r="P34" s="90">
        <f>O32-P33</f>
        <v>2794120</v>
      </c>
    </row>
    <row r="35" spans="1:16" ht="18" customHeight="1" x14ac:dyDescent="0.2">
      <c r="A35" s="11"/>
      <c r="H35" s="63"/>
      <c r="N35" s="62" t="s">
        <v>31</v>
      </c>
      <c r="P35" s="69">
        <f>P34*1%</f>
        <v>27941.200000000001</v>
      </c>
    </row>
    <row r="36" spans="1:16" ht="18" customHeight="1" thickBot="1" x14ac:dyDescent="0.25">
      <c r="A36" s="11"/>
      <c r="H36" s="63"/>
      <c r="N36" s="62" t="s">
        <v>54</v>
      </c>
      <c r="P36" s="71">
        <f>P34*2%</f>
        <v>55882.400000000001</v>
      </c>
    </row>
    <row r="37" spans="1:16" ht="18" customHeight="1" x14ac:dyDescent="0.2">
      <c r="A37" s="11"/>
      <c r="H37" s="63"/>
      <c r="N37" s="66" t="s">
        <v>32</v>
      </c>
      <c r="O37" s="67"/>
      <c r="P37" s="70">
        <f>P34+P35-P36</f>
        <v>2766178.8000000003</v>
      </c>
    </row>
    <row r="39" spans="1:16" x14ac:dyDescent="0.2">
      <c r="A39" s="11"/>
      <c r="H39" s="63"/>
      <c r="P39" s="71"/>
    </row>
    <row r="40" spans="1:16" x14ac:dyDescent="0.2">
      <c r="A40" s="11"/>
      <c r="H40" s="63"/>
      <c r="O40" s="58"/>
      <c r="P40" s="71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</sheetData>
  <mergeCells count="2">
    <mergeCell ref="A32:L32"/>
    <mergeCell ref="O32:P32"/>
  </mergeCells>
  <conditionalFormatting sqref="B3">
    <cfRule type="duplicateValues" dxfId="437" priority="2"/>
  </conditionalFormatting>
  <conditionalFormatting sqref="B4:B31">
    <cfRule type="duplicateValues" dxfId="436" priority="5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403914</v>
      </c>
      <c r="B3" s="73" t="s">
        <v>613</v>
      </c>
      <c r="C3" s="9" t="s">
        <v>614</v>
      </c>
      <c r="D3" s="75" t="s">
        <v>83</v>
      </c>
      <c r="E3" s="13">
        <v>44489</v>
      </c>
      <c r="F3" s="75" t="s">
        <v>119</v>
      </c>
      <c r="G3" s="13" t="s">
        <v>581</v>
      </c>
      <c r="H3" s="10" t="s">
        <v>582</v>
      </c>
      <c r="I3" s="1">
        <v>77</v>
      </c>
      <c r="J3" s="1">
        <v>24</v>
      </c>
      <c r="K3" s="1">
        <v>15</v>
      </c>
      <c r="L3" s="1">
        <v>7</v>
      </c>
      <c r="M3" s="79">
        <v>6.93</v>
      </c>
      <c r="N3" s="8">
        <v>7</v>
      </c>
      <c r="O3" s="64">
        <v>7000</v>
      </c>
      <c r="P3" s="65">
        <f>Table22457891011234567891011121314151617181920212223242526272829303132[[#This Row],[PEMBULATAN]]*O3</f>
        <v>49000</v>
      </c>
    </row>
    <row r="4" spans="1:16" ht="22.5" customHeight="1" x14ac:dyDescent="0.2">
      <c r="A4" s="143" t="s">
        <v>30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8">
        <f>SUBTOTAL(109,Table22457891011234567891011121314151617181920212223242526272829303132[KG VOLUME])</f>
        <v>6.93</v>
      </c>
      <c r="N4" s="68">
        <f>SUM(N3:N3)</f>
        <v>7</v>
      </c>
      <c r="O4" s="146">
        <f>SUM(P3:P3)</f>
        <v>49000</v>
      </c>
      <c r="P4" s="147"/>
    </row>
    <row r="5" spans="1:16" ht="18" customHeight="1" x14ac:dyDescent="0.2">
      <c r="A5" s="85"/>
      <c r="B5" s="56" t="s">
        <v>42</v>
      </c>
      <c r="C5" s="55"/>
      <c r="D5" s="57" t="s">
        <v>43</v>
      </c>
      <c r="E5" s="85"/>
      <c r="F5" s="85"/>
      <c r="G5" s="85"/>
      <c r="H5" s="85"/>
      <c r="I5" s="85"/>
      <c r="J5" s="85"/>
      <c r="K5" s="85"/>
      <c r="L5" s="85"/>
      <c r="M5" s="86"/>
      <c r="N5" s="87" t="s">
        <v>52</v>
      </c>
      <c r="O5" s="88"/>
      <c r="P5" s="88">
        <v>0</v>
      </c>
    </row>
    <row r="6" spans="1:16" ht="18" customHeight="1" thickBot="1" x14ac:dyDescent="0.25">
      <c r="A6" s="85"/>
      <c r="B6" s="56"/>
      <c r="C6" s="55"/>
      <c r="D6" s="57"/>
      <c r="E6" s="85"/>
      <c r="F6" s="85"/>
      <c r="G6" s="85"/>
      <c r="H6" s="85"/>
      <c r="I6" s="85"/>
      <c r="J6" s="85"/>
      <c r="K6" s="85"/>
      <c r="L6" s="85"/>
      <c r="M6" s="86"/>
      <c r="N6" s="89" t="s">
        <v>53</v>
      </c>
      <c r="O6" s="90"/>
      <c r="P6" s="90">
        <f>O4-P5</f>
        <v>49000</v>
      </c>
    </row>
    <row r="7" spans="1:16" ht="18" customHeight="1" x14ac:dyDescent="0.2">
      <c r="A7" s="11"/>
      <c r="H7" s="63"/>
      <c r="N7" s="62" t="s">
        <v>31</v>
      </c>
      <c r="P7" s="69">
        <f>P6*1%</f>
        <v>490</v>
      </c>
    </row>
    <row r="8" spans="1:16" ht="18" customHeight="1" thickBot="1" x14ac:dyDescent="0.25">
      <c r="A8" s="11"/>
      <c r="H8" s="63"/>
      <c r="N8" s="62" t="s">
        <v>54</v>
      </c>
      <c r="P8" s="71">
        <f>P6*2%</f>
        <v>980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48510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420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28" sqref="A3:XFD2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8.5" customHeight="1" x14ac:dyDescent="0.2">
      <c r="A3" s="82">
        <v>401487</v>
      </c>
      <c r="B3" s="73" t="s">
        <v>615</v>
      </c>
      <c r="C3" s="9" t="s">
        <v>616</v>
      </c>
      <c r="D3" s="75" t="s">
        <v>83</v>
      </c>
      <c r="E3" s="13">
        <v>44489</v>
      </c>
      <c r="F3" s="75" t="s">
        <v>119</v>
      </c>
      <c r="G3" s="13" t="s">
        <v>581</v>
      </c>
      <c r="H3" s="10" t="s">
        <v>582</v>
      </c>
      <c r="I3" s="1">
        <v>40</v>
      </c>
      <c r="J3" s="1">
        <v>26</v>
      </c>
      <c r="K3" s="1">
        <v>22</v>
      </c>
      <c r="L3" s="1">
        <v>5</v>
      </c>
      <c r="M3" s="79">
        <v>5.72</v>
      </c>
      <c r="N3" s="103">
        <v>5.72</v>
      </c>
      <c r="O3" s="64">
        <v>7000</v>
      </c>
      <c r="P3" s="65">
        <f>Table2245789101123456789101112131415161718192021222324252627282930313233[[#This Row],[PEMBULATAN]]*O3</f>
        <v>40040</v>
      </c>
    </row>
    <row r="4" spans="1:16" ht="28.5" customHeight="1" x14ac:dyDescent="0.2">
      <c r="A4" s="14"/>
      <c r="B4" s="74"/>
      <c r="C4" s="9" t="s">
        <v>617</v>
      </c>
      <c r="D4" s="75" t="s">
        <v>83</v>
      </c>
      <c r="E4" s="13">
        <v>44489</v>
      </c>
      <c r="F4" s="75" t="s">
        <v>119</v>
      </c>
      <c r="G4" s="13" t="s">
        <v>581</v>
      </c>
      <c r="H4" s="10" t="s">
        <v>582</v>
      </c>
      <c r="I4" s="1">
        <v>38</v>
      </c>
      <c r="J4" s="1">
        <v>26</v>
      </c>
      <c r="K4" s="1">
        <v>21</v>
      </c>
      <c r="L4" s="1">
        <v>7</v>
      </c>
      <c r="M4" s="79">
        <v>5.1870000000000003</v>
      </c>
      <c r="N4" s="103">
        <v>7</v>
      </c>
      <c r="O4" s="64">
        <v>7000</v>
      </c>
      <c r="P4" s="65">
        <f>Table2245789101123456789101112131415161718192021222324252627282930313233[[#This Row],[PEMBULATAN]]*O4</f>
        <v>49000</v>
      </c>
    </row>
    <row r="5" spans="1:16" ht="28.5" customHeight="1" x14ac:dyDescent="0.2">
      <c r="A5" s="14"/>
      <c r="B5" s="74"/>
      <c r="C5" s="95" t="s">
        <v>618</v>
      </c>
      <c r="D5" s="96" t="s">
        <v>83</v>
      </c>
      <c r="E5" s="97">
        <v>44489</v>
      </c>
      <c r="F5" s="98" t="s">
        <v>119</v>
      </c>
      <c r="G5" s="97" t="s">
        <v>581</v>
      </c>
      <c r="H5" s="99" t="s">
        <v>582</v>
      </c>
      <c r="I5" s="100">
        <v>74</v>
      </c>
      <c r="J5" s="100">
        <v>56</v>
      </c>
      <c r="K5" s="100">
        <v>31</v>
      </c>
      <c r="L5" s="100">
        <v>30</v>
      </c>
      <c r="M5" s="101">
        <v>32.116</v>
      </c>
      <c r="N5" s="107">
        <v>32.116</v>
      </c>
      <c r="O5" s="64">
        <v>7000</v>
      </c>
      <c r="P5" s="65">
        <f>Table2245789101123456789101112131415161718192021222324252627282930313233[[#This Row],[PEMBULATAN]]*O5</f>
        <v>224812</v>
      </c>
    </row>
    <row r="6" spans="1:16" ht="28.5" customHeight="1" x14ac:dyDescent="0.2">
      <c r="A6" s="14"/>
      <c r="B6" s="74"/>
      <c r="C6" s="95" t="s">
        <v>619</v>
      </c>
      <c r="D6" s="96" t="s">
        <v>83</v>
      </c>
      <c r="E6" s="97">
        <v>44489</v>
      </c>
      <c r="F6" s="98" t="s">
        <v>119</v>
      </c>
      <c r="G6" s="97" t="s">
        <v>581</v>
      </c>
      <c r="H6" s="99" t="s">
        <v>582</v>
      </c>
      <c r="I6" s="100">
        <v>67</v>
      </c>
      <c r="J6" s="100">
        <v>67</v>
      </c>
      <c r="K6" s="100">
        <v>52</v>
      </c>
      <c r="L6" s="100">
        <v>34</v>
      </c>
      <c r="M6" s="101">
        <v>58.356999999999999</v>
      </c>
      <c r="N6" s="107">
        <v>59</v>
      </c>
      <c r="O6" s="64">
        <v>7000</v>
      </c>
      <c r="P6" s="65">
        <f>Table2245789101123456789101112131415161718192021222324252627282930313233[[#This Row],[PEMBULATAN]]*O6</f>
        <v>413000</v>
      </c>
    </row>
    <row r="7" spans="1:16" ht="28.5" customHeight="1" x14ac:dyDescent="0.2">
      <c r="A7" s="14"/>
      <c r="B7" s="74"/>
      <c r="C7" s="95" t="s">
        <v>620</v>
      </c>
      <c r="D7" s="96" t="s">
        <v>83</v>
      </c>
      <c r="E7" s="97">
        <v>44489</v>
      </c>
      <c r="F7" s="98" t="s">
        <v>119</v>
      </c>
      <c r="G7" s="97" t="s">
        <v>581</v>
      </c>
      <c r="H7" s="99" t="s">
        <v>582</v>
      </c>
      <c r="I7" s="100">
        <v>105</v>
      </c>
      <c r="J7" s="100">
        <v>42</v>
      </c>
      <c r="K7" s="100">
        <v>7</v>
      </c>
      <c r="L7" s="100">
        <v>6</v>
      </c>
      <c r="M7" s="101">
        <v>7.7175000000000002</v>
      </c>
      <c r="N7" s="107">
        <v>7.7175000000000002</v>
      </c>
      <c r="O7" s="64">
        <v>7000</v>
      </c>
      <c r="P7" s="65">
        <f>Table2245789101123456789101112131415161718192021222324252627282930313233[[#This Row],[PEMBULATAN]]*O7</f>
        <v>54022.5</v>
      </c>
    </row>
    <row r="8" spans="1:16" ht="28.5" customHeight="1" x14ac:dyDescent="0.2">
      <c r="A8" s="14"/>
      <c r="B8" s="74"/>
      <c r="C8" s="95" t="s">
        <v>621</v>
      </c>
      <c r="D8" s="96" t="s">
        <v>83</v>
      </c>
      <c r="E8" s="97">
        <v>44489</v>
      </c>
      <c r="F8" s="98" t="s">
        <v>119</v>
      </c>
      <c r="G8" s="97" t="s">
        <v>581</v>
      </c>
      <c r="H8" s="99" t="s">
        <v>582</v>
      </c>
      <c r="I8" s="100">
        <v>130</v>
      </c>
      <c r="J8" s="100">
        <v>71</v>
      </c>
      <c r="K8" s="100">
        <v>22</v>
      </c>
      <c r="L8" s="100">
        <v>20</v>
      </c>
      <c r="M8" s="101">
        <v>50.765000000000001</v>
      </c>
      <c r="N8" s="107">
        <v>50.765000000000001</v>
      </c>
      <c r="O8" s="64">
        <v>7000</v>
      </c>
      <c r="P8" s="65">
        <f>Table2245789101123456789101112131415161718192021222324252627282930313233[[#This Row],[PEMBULATAN]]*O8</f>
        <v>355355</v>
      </c>
    </row>
    <row r="9" spans="1:16" ht="28.5" customHeight="1" x14ac:dyDescent="0.2">
      <c r="A9" s="14"/>
      <c r="B9" s="74"/>
      <c r="C9" s="95" t="s">
        <v>622</v>
      </c>
      <c r="D9" s="96" t="s">
        <v>83</v>
      </c>
      <c r="E9" s="97">
        <v>44489</v>
      </c>
      <c r="F9" s="98" t="s">
        <v>119</v>
      </c>
      <c r="G9" s="97" t="s">
        <v>581</v>
      </c>
      <c r="H9" s="99" t="s">
        <v>582</v>
      </c>
      <c r="I9" s="100">
        <v>50</v>
      </c>
      <c r="J9" s="100">
        <v>33</v>
      </c>
      <c r="K9" s="100">
        <v>16</v>
      </c>
      <c r="L9" s="100">
        <v>6</v>
      </c>
      <c r="M9" s="101">
        <v>6.6</v>
      </c>
      <c r="N9" s="107">
        <v>6.6</v>
      </c>
      <c r="O9" s="64">
        <v>7000</v>
      </c>
      <c r="P9" s="65">
        <f>Table2245789101123456789101112131415161718192021222324252627282930313233[[#This Row],[PEMBULATAN]]*O9</f>
        <v>46200</v>
      </c>
    </row>
    <row r="10" spans="1:16" ht="28.5" customHeight="1" x14ac:dyDescent="0.2">
      <c r="A10" s="14"/>
      <c r="B10" s="74"/>
      <c r="C10" s="95" t="s">
        <v>623</v>
      </c>
      <c r="D10" s="96" t="s">
        <v>83</v>
      </c>
      <c r="E10" s="97">
        <v>44489</v>
      </c>
      <c r="F10" s="98" t="s">
        <v>119</v>
      </c>
      <c r="G10" s="97" t="s">
        <v>581</v>
      </c>
      <c r="H10" s="99" t="s">
        <v>582</v>
      </c>
      <c r="I10" s="100">
        <v>59</v>
      </c>
      <c r="J10" s="100">
        <v>69</v>
      </c>
      <c r="K10" s="100">
        <v>23</v>
      </c>
      <c r="L10" s="100">
        <v>9</v>
      </c>
      <c r="M10" s="101">
        <v>23.408249999999999</v>
      </c>
      <c r="N10" s="107">
        <v>24</v>
      </c>
      <c r="O10" s="64">
        <v>7000</v>
      </c>
      <c r="P10" s="65">
        <f>Table2245789101123456789101112131415161718192021222324252627282930313233[[#This Row],[PEMBULATAN]]*O10</f>
        <v>168000</v>
      </c>
    </row>
    <row r="11" spans="1:16" ht="28.5" customHeight="1" x14ac:dyDescent="0.2">
      <c r="A11" s="14"/>
      <c r="B11" s="74"/>
      <c r="C11" s="95" t="s">
        <v>624</v>
      </c>
      <c r="D11" s="96" t="s">
        <v>83</v>
      </c>
      <c r="E11" s="97">
        <v>44489</v>
      </c>
      <c r="F11" s="98" t="s">
        <v>119</v>
      </c>
      <c r="G11" s="97" t="s">
        <v>581</v>
      </c>
      <c r="H11" s="99" t="s">
        <v>582</v>
      </c>
      <c r="I11" s="100">
        <v>46</v>
      </c>
      <c r="J11" s="100">
        <v>40</v>
      </c>
      <c r="K11" s="100">
        <v>17</v>
      </c>
      <c r="L11" s="100">
        <v>6</v>
      </c>
      <c r="M11" s="101">
        <v>7.82</v>
      </c>
      <c r="N11" s="107">
        <v>7.82</v>
      </c>
      <c r="O11" s="64">
        <v>7000</v>
      </c>
      <c r="P11" s="65">
        <f>Table2245789101123456789101112131415161718192021222324252627282930313233[[#This Row],[PEMBULATAN]]*O11</f>
        <v>54740</v>
      </c>
    </row>
    <row r="12" spans="1:16" ht="28.5" customHeight="1" x14ac:dyDescent="0.2">
      <c r="A12" s="14"/>
      <c r="B12" s="74"/>
      <c r="C12" s="95" t="s">
        <v>625</v>
      </c>
      <c r="D12" s="96" t="s">
        <v>83</v>
      </c>
      <c r="E12" s="97">
        <v>44489</v>
      </c>
      <c r="F12" s="98" t="s">
        <v>119</v>
      </c>
      <c r="G12" s="97" t="s">
        <v>581</v>
      </c>
      <c r="H12" s="99" t="s">
        <v>582</v>
      </c>
      <c r="I12" s="100">
        <v>45</v>
      </c>
      <c r="J12" s="100">
        <v>30</v>
      </c>
      <c r="K12" s="100">
        <v>21</v>
      </c>
      <c r="L12" s="100">
        <v>21</v>
      </c>
      <c r="M12" s="101">
        <v>7.0875000000000004</v>
      </c>
      <c r="N12" s="107">
        <v>21</v>
      </c>
      <c r="O12" s="64">
        <v>7000</v>
      </c>
      <c r="P12" s="65">
        <f>Table2245789101123456789101112131415161718192021222324252627282930313233[[#This Row],[PEMBULATAN]]*O12</f>
        <v>147000</v>
      </c>
    </row>
    <row r="13" spans="1:16" ht="28.5" customHeight="1" x14ac:dyDescent="0.2">
      <c r="A13" s="14"/>
      <c r="B13" s="74"/>
      <c r="C13" s="95" t="s">
        <v>626</v>
      </c>
      <c r="D13" s="96" t="s">
        <v>83</v>
      </c>
      <c r="E13" s="97">
        <v>44489</v>
      </c>
      <c r="F13" s="98" t="s">
        <v>119</v>
      </c>
      <c r="G13" s="97" t="s">
        <v>581</v>
      </c>
      <c r="H13" s="99" t="s">
        <v>582</v>
      </c>
      <c r="I13" s="100">
        <v>57</v>
      </c>
      <c r="J13" s="100">
        <v>37</v>
      </c>
      <c r="K13" s="100">
        <v>20</v>
      </c>
      <c r="L13" s="100">
        <v>12</v>
      </c>
      <c r="M13" s="101">
        <v>10.545</v>
      </c>
      <c r="N13" s="107">
        <v>12</v>
      </c>
      <c r="O13" s="64">
        <v>7000</v>
      </c>
      <c r="P13" s="65">
        <f>Table2245789101123456789101112131415161718192021222324252627282930313233[[#This Row],[PEMBULATAN]]*O13</f>
        <v>84000</v>
      </c>
    </row>
    <row r="14" spans="1:16" ht="28.5" customHeight="1" x14ac:dyDescent="0.2">
      <c r="A14" s="14"/>
      <c r="B14" s="74"/>
      <c r="C14" s="95" t="s">
        <v>627</v>
      </c>
      <c r="D14" s="96" t="s">
        <v>83</v>
      </c>
      <c r="E14" s="97">
        <v>44489</v>
      </c>
      <c r="F14" s="98" t="s">
        <v>119</v>
      </c>
      <c r="G14" s="97" t="s">
        <v>581</v>
      </c>
      <c r="H14" s="99" t="s">
        <v>582</v>
      </c>
      <c r="I14" s="100">
        <v>42</v>
      </c>
      <c r="J14" s="100">
        <v>50</v>
      </c>
      <c r="K14" s="100">
        <v>32</v>
      </c>
      <c r="L14" s="100">
        <v>18</v>
      </c>
      <c r="M14" s="101">
        <v>16.8</v>
      </c>
      <c r="N14" s="107">
        <v>18</v>
      </c>
      <c r="O14" s="64">
        <v>7000</v>
      </c>
      <c r="P14" s="65">
        <f>Table2245789101123456789101112131415161718192021222324252627282930313233[[#This Row],[PEMBULATAN]]*O14</f>
        <v>126000</v>
      </c>
    </row>
    <row r="15" spans="1:16" ht="28.5" customHeight="1" x14ac:dyDescent="0.2">
      <c r="A15" s="14"/>
      <c r="B15" s="74"/>
      <c r="C15" s="95" t="s">
        <v>628</v>
      </c>
      <c r="D15" s="96" t="s">
        <v>83</v>
      </c>
      <c r="E15" s="97">
        <v>44489</v>
      </c>
      <c r="F15" s="98" t="s">
        <v>119</v>
      </c>
      <c r="G15" s="97" t="s">
        <v>581</v>
      </c>
      <c r="H15" s="99" t="s">
        <v>582</v>
      </c>
      <c r="I15" s="100">
        <v>65</v>
      </c>
      <c r="J15" s="100">
        <v>37</v>
      </c>
      <c r="K15" s="100">
        <v>28</v>
      </c>
      <c r="L15" s="100">
        <v>5</v>
      </c>
      <c r="M15" s="101">
        <v>16.835000000000001</v>
      </c>
      <c r="N15" s="107">
        <v>16.835000000000001</v>
      </c>
      <c r="O15" s="64">
        <v>7000</v>
      </c>
      <c r="P15" s="65">
        <f>Table2245789101123456789101112131415161718192021222324252627282930313233[[#This Row],[PEMBULATAN]]*O15</f>
        <v>117845</v>
      </c>
    </row>
    <row r="16" spans="1:16" ht="28.5" customHeight="1" x14ac:dyDescent="0.2">
      <c r="A16" s="14"/>
      <c r="B16" s="74"/>
      <c r="C16" s="95" t="s">
        <v>629</v>
      </c>
      <c r="D16" s="96" t="s">
        <v>83</v>
      </c>
      <c r="E16" s="97">
        <v>44489</v>
      </c>
      <c r="F16" s="98" t="s">
        <v>119</v>
      </c>
      <c r="G16" s="97" t="s">
        <v>581</v>
      </c>
      <c r="H16" s="99" t="s">
        <v>582</v>
      </c>
      <c r="I16" s="100">
        <v>53</v>
      </c>
      <c r="J16" s="100">
        <v>46</v>
      </c>
      <c r="K16" s="100">
        <v>24</v>
      </c>
      <c r="L16" s="100">
        <v>9</v>
      </c>
      <c r="M16" s="101">
        <v>14.628</v>
      </c>
      <c r="N16" s="107">
        <v>14.628</v>
      </c>
      <c r="O16" s="64">
        <v>7000</v>
      </c>
      <c r="P16" s="65">
        <f>Table2245789101123456789101112131415161718192021222324252627282930313233[[#This Row],[PEMBULATAN]]*O16</f>
        <v>102396</v>
      </c>
    </row>
    <row r="17" spans="1:16" ht="28.5" customHeight="1" x14ac:dyDescent="0.2">
      <c r="A17" s="14"/>
      <c r="B17" s="74"/>
      <c r="C17" s="95" t="s">
        <v>630</v>
      </c>
      <c r="D17" s="96" t="s">
        <v>83</v>
      </c>
      <c r="E17" s="97">
        <v>44489</v>
      </c>
      <c r="F17" s="98" t="s">
        <v>119</v>
      </c>
      <c r="G17" s="97" t="s">
        <v>581</v>
      </c>
      <c r="H17" s="99" t="s">
        <v>582</v>
      </c>
      <c r="I17" s="100">
        <v>43</v>
      </c>
      <c r="J17" s="100">
        <v>41</v>
      </c>
      <c r="K17" s="100">
        <v>28</v>
      </c>
      <c r="L17" s="100">
        <v>12</v>
      </c>
      <c r="M17" s="101">
        <v>12.340999999999999</v>
      </c>
      <c r="N17" s="107">
        <v>13</v>
      </c>
      <c r="O17" s="64">
        <v>7000</v>
      </c>
      <c r="P17" s="65">
        <f>Table2245789101123456789101112131415161718192021222324252627282930313233[[#This Row],[PEMBULATAN]]*O17</f>
        <v>91000</v>
      </c>
    </row>
    <row r="18" spans="1:16" ht="28.5" customHeight="1" x14ac:dyDescent="0.2">
      <c r="A18" s="14"/>
      <c r="B18" s="108"/>
      <c r="C18" s="95" t="s">
        <v>631</v>
      </c>
      <c r="D18" s="96" t="s">
        <v>83</v>
      </c>
      <c r="E18" s="97">
        <v>44489</v>
      </c>
      <c r="F18" s="98" t="s">
        <v>119</v>
      </c>
      <c r="G18" s="97" t="s">
        <v>581</v>
      </c>
      <c r="H18" s="99" t="s">
        <v>582</v>
      </c>
      <c r="I18" s="100">
        <v>200</v>
      </c>
      <c r="J18" s="100">
        <v>100</v>
      </c>
      <c r="K18" s="100">
        <v>20</v>
      </c>
      <c r="L18" s="100">
        <v>33</v>
      </c>
      <c r="M18" s="101">
        <v>100</v>
      </c>
      <c r="N18" s="107">
        <v>100</v>
      </c>
      <c r="O18" s="64">
        <v>7000</v>
      </c>
      <c r="P18" s="65">
        <f>Table2245789101123456789101112131415161718192021222324252627282930313233[[#This Row],[PEMBULATAN]]*O18</f>
        <v>700000</v>
      </c>
    </row>
    <row r="19" spans="1:16" ht="28.5" customHeight="1" x14ac:dyDescent="0.2">
      <c r="A19" s="14"/>
      <c r="B19" s="74" t="s">
        <v>632</v>
      </c>
      <c r="C19" s="95" t="s">
        <v>633</v>
      </c>
      <c r="D19" s="96" t="s">
        <v>83</v>
      </c>
      <c r="E19" s="97">
        <v>44489</v>
      </c>
      <c r="F19" s="98" t="s">
        <v>119</v>
      </c>
      <c r="G19" s="97" t="s">
        <v>581</v>
      </c>
      <c r="H19" s="99" t="s">
        <v>582</v>
      </c>
      <c r="I19" s="100">
        <v>118</v>
      </c>
      <c r="J19" s="100">
        <v>35</v>
      </c>
      <c r="K19" s="100">
        <v>14</v>
      </c>
      <c r="L19" s="100">
        <v>20</v>
      </c>
      <c r="M19" s="101">
        <v>14.455</v>
      </c>
      <c r="N19" s="107">
        <v>20</v>
      </c>
      <c r="O19" s="64">
        <v>7000</v>
      </c>
      <c r="P19" s="65">
        <f>Table2245789101123456789101112131415161718192021222324252627282930313233[[#This Row],[PEMBULATAN]]*O19</f>
        <v>140000</v>
      </c>
    </row>
    <row r="20" spans="1:16" ht="28.5" customHeight="1" x14ac:dyDescent="0.2">
      <c r="A20" s="14"/>
      <c r="B20" s="74"/>
      <c r="C20" s="95" t="s">
        <v>634</v>
      </c>
      <c r="D20" s="96" t="s">
        <v>83</v>
      </c>
      <c r="E20" s="97">
        <v>44489</v>
      </c>
      <c r="F20" s="98" t="s">
        <v>119</v>
      </c>
      <c r="G20" s="97" t="s">
        <v>581</v>
      </c>
      <c r="H20" s="99" t="s">
        <v>582</v>
      </c>
      <c r="I20" s="100">
        <v>66</v>
      </c>
      <c r="J20" s="100">
        <v>30</v>
      </c>
      <c r="K20" s="100">
        <v>36</v>
      </c>
      <c r="L20" s="100">
        <v>13</v>
      </c>
      <c r="M20" s="101">
        <v>17.82</v>
      </c>
      <c r="N20" s="107">
        <v>17.82</v>
      </c>
      <c r="O20" s="64">
        <v>7000</v>
      </c>
      <c r="P20" s="65">
        <f>Table2245789101123456789101112131415161718192021222324252627282930313233[[#This Row],[PEMBULATAN]]*O20</f>
        <v>124740</v>
      </c>
    </row>
    <row r="21" spans="1:16" ht="28.5" customHeight="1" x14ac:dyDescent="0.2">
      <c r="A21" s="14"/>
      <c r="B21" s="108"/>
      <c r="C21" s="95" t="s">
        <v>635</v>
      </c>
      <c r="D21" s="96" t="s">
        <v>83</v>
      </c>
      <c r="E21" s="97">
        <v>44489</v>
      </c>
      <c r="F21" s="98" t="s">
        <v>119</v>
      </c>
      <c r="G21" s="97" t="s">
        <v>581</v>
      </c>
      <c r="H21" s="99" t="s">
        <v>582</v>
      </c>
      <c r="I21" s="100">
        <v>35</v>
      </c>
      <c r="J21" s="100">
        <v>30</v>
      </c>
      <c r="K21" s="100">
        <v>16</v>
      </c>
      <c r="L21" s="100">
        <v>7</v>
      </c>
      <c r="M21" s="101">
        <v>4.2</v>
      </c>
      <c r="N21" s="107">
        <v>7</v>
      </c>
      <c r="O21" s="64">
        <v>7000</v>
      </c>
      <c r="P21" s="65">
        <f>Table2245789101123456789101112131415161718192021222324252627282930313233[[#This Row],[PEMBULATAN]]*O21</f>
        <v>49000</v>
      </c>
    </row>
    <row r="22" spans="1:16" ht="28.5" customHeight="1" x14ac:dyDescent="0.2">
      <c r="A22" s="14"/>
      <c r="B22" s="74" t="s">
        <v>636</v>
      </c>
      <c r="C22" s="95" t="s">
        <v>637</v>
      </c>
      <c r="D22" s="96" t="s">
        <v>83</v>
      </c>
      <c r="E22" s="97">
        <v>44489</v>
      </c>
      <c r="F22" s="98" t="s">
        <v>119</v>
      </c>
      <c r="G22" s="97" t="s">
        <v>581</v>
      </c>
      <c r="H22" s="99" t="s">
        <v>582</v>
      </c>
      <c r="I22" s="100">
        <v>44</v>
      </c>
      <c r="J22" s="100">
        <v>34</v>
      </c>
      <c r="K22" s="100">
        <v>28</v>
      </c>
      <c r="L22" s="100">
        <v>4</v>
      </c>
      <c r="M22" s="101">
        <v>10.472</v>
      </c>
      <c r="N22" s="107">
        <v>11</v>
      </c>
      <c r="O22" s="64">
        <v>7000</v>
      </c>
      <c r="P22" s="65">
        <f>Table2245789101123456789101112131415161718192021222324252627282930313233[[#This Row],[PEMBULATAN]]*O22</f>
        <v>77000</v>
      </c>
    </row>
    <row r="23" spans="1:16" ht="28.5" customHeight="1" x14ac:dyDescent="0.2">
      <c r="A23" s="14"/>
      <c r="B23" s="74"/>
      <c r="C23" s="95" t="s">
        <v>638</v>
      </c>
      <c r="D23" s="96" t="s">
        <v>83</v>
      </c>
      <c r="E23" s="97">
        <v>44489</v>
      </c>
      <c r="F23" s="98" t="s">
        <v>119</v>
      </c>
      <c r="G23" s="97" t="s">
        <v>581</v>
      </c>
      <c r="H23" s="99" t="s">
        <v>582</v>
      </c>
      <c r="I23" s="100">
        <v>46</v>
      </c>
      <c r="J23" s="100">
        <v>37</v>
      </c>
      <c r="K23" s="100">
        <v>28</v>
      </c>
      <c r="L23" s="100">
        <v>18</v>
      </c>
      <c r="M23" s="101">
        <v>11.914</v>
      </c>
      <c r="N23" s="107">
        <v>18</v>
      </c>
      <c r="O23" s="64">
        <v>7000</v>
      </c>
      <c r="P23" s="65">
        <f>Table2245789101123456789101112131415161718192021222324252627282930313233[[#This Row],[PEMBULATAN]]*O23</f>
        <v>126000</v>
      </c>
    </row>
    <row r="24" spans="1:16" ht="28.5" customHeight="1" x14ac:dyDescent="0.2">
      <c r="A24" s="14"/>
      <c r="B24" s="74"/>
      <c r="C24" s="95" t="s">
        <v>639</v>
      </c>
      <c r="D24" s="96" t="s">
        <v>83</v>
      </c>
      <c r="E24" s="97">
        <v>44489</v>
      </c>
      <c r="F24" s="98" t="s">
        <v>119</v>
      </c>
      <c r="G24" s="97" t="s">
        <v>581</v>
      </c>
      <c r="H24" s="99" t="s">
        <v>582</v>
      </c>
      <c r="I24" s="100">
        <v>33</v>
      </c>
      <c r="J24" s="100">
        <v>33</v>
      </c>
      <c r="K24" s="100">
        <v>18</v>
      </c>
      <c r="L24" s="100">
        <v>7</v>
      </c>
      <c r="M24" s="101">
        <v>4.9005000000000001</v>
      </c>
      <c r="N24" s="107">
        <v>7</v>
      </c>
      <c r="O24" s="64">
        <v>7000</v>
      </c>
      <c r="P24" s="65">
        <f>Table2245789101123456789101112131415161718192021222324252627282930313233[[#This Row],[PEMBULATAN]]*O24</f>
        <v>49000</v>
      </c>
    </row>
    <row r="25" spans="1:16" ht="28.5" customHeight="1" x14ac:dyDescent="0.2">
      <c r="A25" s="14"/>
      <c r="B25" s="74"/>
      <c r="C25" s="95" t="s">
        <v>640</v>
      </c>
      <c r="D25" s="96" t="s">
        <v>83</v>
      </c>
      <c r="E25" s="97">
        <v>44489</v>
      </c>
      <c r="F25" s="98" t="s">
        <v>119</v>
      </c>
      <c r="G25" s="97" t="s">
        <v>581</v>
      </c>
      <c r="H25" s="99" t="s">
        <v>582</v>
      </c>
      <c r="I25" s="100">
        <v>33</v>
      </c>
      <c r="J25" s="100">
        <v>33</v>
      </c>
      <c r="K25" s="100">
        <v>18</v>
      </c>
      <c r="L25" s="100">
        <v>7</v>
      </c>
      <c r="M25" s="101">
        <v>4.9005000000000001</v>
      </c>
      <c r="N25" s="107">
        <v>7</v>
      </c>
      <c r="O25" s="64">
        <v>7000</v>
      </c>
      <c r="P25" s="65">
        <f>Table2245789101123456789101112131415161718192021222324252627282930313233[[#This Row],[PEMBULATAN]]*O25</f>
        <v>49000</v>
      </c>
    </row>
    <row r="26" spans="1:16" ht="28.5" customHeight="1" x14ac:dyDescent="0.2">
      <c r="A26" s="14"/>
      <c r="B26" s="74"/>
      <c r="C26" s="95" t="s">
        <v>641</v>
      </c>
      <c r="D26" s="96" t="s">
        <v>83</v>
      </c>
      <c r="E26" s="97">
        <v>44489</v>
      </c>
      <c r="F26" s="98" t="s">
        <v>119</v>
      </c>
      <c r="G26" s="97" t="s">
        <v>581</v>
      </c>
      <c r="H26" s="99" t="s">
        <v>582</v>
      </c>
      <c r="I26" s="100">
        <v>33</v>
      </c>
      <c r="J26" s="100">
        <v>33</v>
      </c>
      <c r="K26" s="100">
        <v>18</v>
      </c>
      <c r="L26" s="100">
        <v>7</v>
      </c>
      <c r="M26" s="101">
        <v>4.9005000000000001</v>
      </c>
      <c r="N26" s="107">
        <v>7</v>
      </c>
      <c r="O26" s="64">
        <v>7000</v>
      </c>
      <c r="P26" s="65">
        <f>Table2245789101123456789101112131415161718192021222324252627282930313233[[#This Row],[PEMBULATAN]]*O26</f>
        <v>49000</v>
      </c>
    </row>
    <row r="27" spans="1:16" ht="28.5" customHeight="1" x14ac:dyDescent="0.2">
      <c r="A27" s="14"/>
      <c r="B27" s="74"/>
      <c r="C27" s="95" t="s">
        <v>642</v>
      </c>
      <c r="D27" s="96" t="s">
        <v>83</v>
      </c>
      <c r="E27" s="97">
        <v>44489</v>
      </c>
      <c r="F27" s="98" t="s">
        <v>119</v>
      </c>
      <c r="G27" s="97" t="s">
        <v>581</v>
      </c>
      <c r="H27" s="99" t="s">
        <v>582</v>
      </c>
      <c r="I27" s="100">
        <v>33</v>
      </c>
      <c r="J27" s="100">
        <v>33</v>
      </c>
      <c r="K27" s="100">
        <v>18</v>
      </c>
      <c r="L27" s="100">
        <v>7</v>
      </c>
      <c r="M27" s="101">
        <v>4.9005000000000001</v>
      </c>
      <c r="N27" s="107">
        <v>7</v>
      </c>
      <c r="O27" s="64">
        <v>7000</v>
      </c>
      <c r="P27" s="65">
        <f>Table2245789101123456789101112131415161718192021222324252627282930313233[[#This Row],[PEMBULATAN]]*O27</f>
        <v>49000</v>
      </c>
    </row>
    <row r="28" spans="1:16" ht="28.5" customHeight="1" x14ac:dyDescent="0.2">
      <c r="A28" s="14"/>
      <c r="B28" s="74"/>
      <c r="C28" s="95" t="s">
        <v>643</v>
      </c>
      <c r="D28" s="96" t="s">
        <v>83</v>
      </c>
      <c r="E28" s="97">
        <v>44489</v>
      </c>
      <c r="F28" s="98" t="s">
        <v>119</v>
      </c>
      <c r="G28" s="97" t="s">
        <v>581</v>
      </c>
      <c r="H28" s="99" t="s">
        <v>582</v>
      </c>
      <c r="I28" s="100">
        <v>33</v>
      </c>
      <c r="J28" s="100">
        <v>33</v>
      </c>
      <c r="K28" s="100">
        <v>18</v>
      </c>
      <c r="L28" s="100">
        <v>7</v>
      </c>
      <c r="M28" s="101">
        <v>4.9005000000000001</v>
      </c>
      <c r="N28" s="107">
        <v>7</v>
      </c>
      <c r="O28" s="64">
        <v>7000</v>
      </c>
      <c r="P28" s="65">
        <f>Table2245789101123456789101112131415161718192021222324252627282930313233[[#This Row],[PEMBULATAN]]*O28</f>
        <v>49000</v>
      </c>
    </row>
    <row r="29" spans="1:16" ht="22.5" customHeight="1" x14ac:dyDescent="0.2">
      <c r="A29" s="143" t="s">
        <v>30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5"/>
      <c r="M29" s="78">
        <f>SUBTOTAL(109,Table2245789101123456789101112131415161718192021222324252627282930313233[KG VOLUME])</f>
        <v>459.29075000000006</v>
      </c>
      <c r="N29" s="68">
        <f>SUM(N3:N28)</f>
        <v>505.02149999999995</v>
      </c>
      <c r="O29" s="146">
        <f>SUM(P3:P28)</f>
        <v>3535150.5</v>
      </c>
      <c r="P29" s="147"/>
    </row>
    <row r="30" spans="1:16" ht="18" customHeight="1" x14ac:dyDescent="0.2">
      <c r="A30" s="85"/>
      <c r="B30" s="56" t="s">
        <v>42</v>
      </c>
      <c r="C30" s="55"/>
      <c r="D30" s="57" t="s">
        <v>43</v>
      </c>
      <c r="E30" s="85"/>
      <c r="F30" s="85"/>
      <c r="G30" s="85"/>
      <c r="H30" s="85"/>
      <c r="I30" s="85"/>
      <c r="J30" s="85"/>
      <c r="K30" s="85"/>
      <c r="L30" s="85"/>
      <c r="M30" s="86"/>
      <c r="N30" s="87" t="s">
        <v>52</v>
      </c>
      <c r="O30" s="88"/>
      <c r="P30" s="88">
        <v>0</v>
      </c>
    </row>
    <row r="31" spans="1:16" ht="18" customHeight="1" thickBot="1" x14ac:dyDescent="0.25">
      <c r="A31" s="85"/>
      <c r="B31" s="56"/>
      <c r="C31" s="55"/>
      <c r="D31" s="57"/>
      <c r="E31" s="85"/>
      <c r="F31" s="85"/>
      <c r="G31" s="85"/>
      <c r="H31" s="85"/>
      <c r="I31" s="85"/>
      <c r="J31" s="85"/>
      <c r="K31" s="85"/>
      <c r="L31" s="85"/>
      <c r="M31" s="86"/>
      <c r="N31" s="89" t="s">
        <v>53</v>
      </c>
      <c r="O31" s="90"/>
      <c r="P31" s="90">
        <f>O29-P30</f>
        <v>3535150.5</v>
      </c>
    </row>
    <row r="32" spans="1:16" ht="18" customHeight="1" x14ac:dyDescent="0.2">
      <c r="A32" s="11"/>
      <c r="H32" s="63"/>
      <c r="N32" s="62" t="s">
        <v>31</v>
      </c>
      <c r="P32" s="69">
        <f>P31*1%</f>
        <v>35351.504999999997</v>
      </c>
    </row>
    <row r="33" spans="1:16" ht="18" customHeight="1" thickBot="1" x14ac:dyDescent="0.25">
      <c r="A33" s="11"/>
      <c r="H33" s="63"/>
      <c r="N33" s="62" t="s">
        <v>54</v>
      </c>
      <c r="P33" s="71">
        <f>P31*2%</f>
        <v>70703.009999999995</v>
      </c>
    </row>
    <row r="34" spans="1:16" ht="18" customHeight="1" x14ac:dyDescent="0.2">
      <c r="A34" s="11"/>
      <c r="H34" s="63"/>
      <c r="N34" s="66" t="s">
        <v>32</v>
      </c>
      <c r="O34" s="67"/>
      <c r="P34" s="70">
        <f>P31+P32-P33</f>
        <v>3499798.9950000001</v>
      </c>
    </row>
    <row r="36" spans="1:16" x14ac:dyDescent="0.2">
      <c r="A36" s="11"/>
      <c r="H36" s="63"/>
      <c r="P36" s="71"/>
    </row>
    <row r="37" spans="1:16" x14ac:dyDescent="0.2">
      <c r="A37" s="11"/>
      <c r="H37" s="63"/>
      <c r="O37" s="58"/>
      <c r="P37" s="71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</sheetData>
  <mergeCells count="2">
    <mergeCell ref="A29:L29"/>
    <mergeCell ref="O29:P29"/>
  </mergeCells>
  <conditionalFormatting sqref="B3">
    <cfRule type="duplicateValues" dxfId="404" priority="2"/>
  </conditionalFormatting>
  <conditionalFormatting sqref="B4:B28">
    <cfRule type="duplicateValues" dxfId="403" priority="6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7" sqref="O7:P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403916</v>
      </c>
      <c r="B3" s="73" t="s">
        <v>644</v>
      </c>
      <c r="C3" s="9" t="s">
        <v>645</v>
      </c>
      <c r="D3" s="75" t="s">
        <v>83</v>
      </c>
      <c r="E3" s="13">
        <v>44490</v>
      </c>
      <c r="F3" s="75" t="s">
        <v>119</v>
      </c>
      <c r="G3" s="13" t="s">
        <v>581</v>
      </c>
      <c r="H3" s="10" t="s">
        <v>582</v>
      </c>
      <c r="I3" s="1">
        <v>14</v>
      </c>
      <c r="J3" s="1">
        <v>14</v>
      </c>
      <c r="K3" s="1">
        <v>16</v>
      </c>
      <c r="L3" s="1">
        <v>21</v>
      </c>
      <c r="M3" s="79">
        <v>0.78400000000000003</v>
      </c>
      <c r="N3" s="8">
        <v>21</v>
      </c>
      <c r="O3" s="64">
        <v>7000</v>
      </c>
      <c r="P3" s="65">
        <f>Table224578910112345678910111213141516171819202122232425262728293031323334[[#This Row],[PEMBULATAN]]*O3</f>
        <v>147000</v>
      </c>
    </row>
    <row r="4" spans="1:16" ht="26.25" customHeight="1" x14ac:dyDescent="0.2">
      <c r="A4" s="14"/>
      <c r="B4" s="74"/>
      <c r="C4" s="9" t="s">
        <v>646</v>
      </c>
      <c r="D4" s="75" t="s">
        <v>83</v>
      </c>
      <c r="E4" s="13">
        <v>44490</v>
      </c>
      <c r="F4" s="75" t="s">
        <v>119</v>
      </c>
      <c r="G4" s="13" t="s">
        <v>581</v>
      </c>
      <c r="H4" s="10" t="s">
        <v>582</v>
      </c>
      <c r="I4" s="1">
        <v>14</v>
      </c>
      <c r="J4" s="1">
        <v>14</v>
      </c>
      <c r="K4" s="1">
        <v>16</v>
      </c>
      <c r="L4" s="1">
        <v>21</v>
      </c>
      <c r="M4" s="79">
        <v>0.78400000000000003</v>
      </c>
      <c r="N4" s="8">
        <v>21</v>
      </c>
      <c r="O4" s="64">
        <v>7000</v>
      </c>
      <c r="P4" s="65">
        <f>Table224578910112345678910111213141516171819202122232425262728293031323334[[#This Row],[PEMBULATAN]]*O4</f>
        <v>147000</v>
      </c>
    </row>
    <row r="5" spans="1:16" ht="26.25" customHeight="1" x14ac:dyDescent="0.2">
      <c r="A5" s="14"/>
      <c r="B5" s="74"/>
      <c r="C5" s="95" t="s">
        <v>647</v>
      </c>
      <c r="D5" s="96" t="s">
        <v>83</v>
      </c>
      <c r="E5" s="97">
        <v>44490</v>
      </c>
      <c r="F5" s="98" t="s">
        <v>119</v>
      </c>
      <c r="G5" s="97" t="s">
        <v>581</v>
      </c>
      <c r="H5" s="99" t="s">
        <v>582</v>
      </c>
      <c r="I5" s="100">
        <v>50</v>
      </c>
      <c r="J5" s="100">
        <v>42</v>
      </c>
      <c r="K5" s="100">
        <v>9</v>
      </c>
      <c r="L5" s="100">
        <v>5</v>
      </c>
      <c r="M5" s="101">
        <v>4.7249999999999996</v>
      </c>
      <c r="N5" s="102">
        <v>5</v>
      </c>
      <c r="O5" s="64">
        <v>7000</v>
      </c>
      <c r="P5" s="65">
        <f>Table224578910112345678910111213141516171819202122232425262728293031323334[[#This Row],[PEMBULATAN]]*O5</f>
        <v>35000</v>
      </c>
    </row>
    <row r="6" spans="1:16" ht="26.25" customHeight="1" x14ac:dyDescent="0.2">
      <c r="A6" s="14"/>
      <c r="B6" s="74"/>
      <c r="C6" s="95" t="s">
        <v>648</v>
      </c>
      <c r="D6" s="96" t="s">
        <v>83</v>
      </c>
      <c r="E6" s="97">
        <v>44490</v>
      </c>
      <c r="F6" s="98" t="s">
        <v>119</v>
      </c>
      <c r="G6" s="97" t="s">
        <v>581</v>
      </c>
      <c r="H6" s="99" t="s">
        <v>582</v>
      </c>
      <c r="I6" s="100">
        <v>13</v>
      </c>
      <c r="J6" s="100">
        <v>15</v>
      </c>
      <c r="K6" s="100">
        <v>18</v>
      </c>
      <c r="L6" s="100">
        <v>5</v>
      </c>
      <c r="M6" s="101">
        <v>0.87749999999999995</v>
      </c>
      <c r="N6" s="102">
        <v>5</v>
      </c>
      <c r="O6" s="64">
        <v>7000</v>
      </c>
      <c r="P6" s="65">
        <f>Table224578910112345678910111213141516171819202122232425262728293031323334[[#This Row],[PEMBULATAN]]*O6</f>
        <v>35000</v>
      </c>
    </row>
    <row r="7" spans="1:16" ht="22.5" customHeight="1" x14ac:dyDescent="0.2">
      <c r="A7" s="143" t="s">
        <v>30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5"/>
      <c r="M7" s="78">
        <f>SUBTOTAL(109,Table224578910112345678910111213141516171819202122232425262728293031323334[KG VOLUME])</f>
        <v>7.1704999999999988</v>
      </c>
      <c r="N7" s="68">
        <f>SUM(N3:N6)</f>
        <v>52</v>
      </c>
      <c r="O7" s="146">
        <f>SUM(P3:P6)</f>
        <v>364000</v>
      </c>
      <c r="P7" s="147"/>
    </row>
    <row r="8" spans="1:16" ht="18" customHeight="1" x14ac:dyDescent="0.2">
      <c r="A8" s="85"/>
      <c r="B8" s="56" t="s">
        <v>42</v>
      </c>
      <c r="C8" s="55"/>
      <c r="D8" s="57" t="s">
        <v>43</v>
      </c>
      <c r="E8" s="85"/>
      <c r="F8" s="85"/>
      <c r="G8" s="85"/>
      <c r="H8" s="85"/>
      <c r="I8" s="85"/>
      <c r="J8" s="85"/>
      <c r="K8" s="85"/>
      <c r="L8" s="85"/>
      <c r="M8" s="86"/>
      <c r="N8" s="87" t="s">
        <v>52</v>
      </c>
      <c r="O8" s="88"/>
      <c r="P8" s="88">
        <v>0</v>
      </c>
    </row>
    <row r="9" spans="1:16" ht="18" customHeight="1" thickBot="1" x14ac:dyDescent="0.25">
      <c r="A9" s="85"/>
      <c r="B9" s="56"/>
      <c r="C9" s="55"/>
      <c r="D9" s="57"/>
      <c r="E9" s="85"/>
      <c r="F9" s="85"/>
      <c r="G9" s="85"/>
      <c r="H9" s="85"/>
      <c r="I9" s="85"/>
      <c r="J9" s="85"/>
      <c r="K9" s="85"/>
      <c r="L9" s="85"/>
      <c r="M9" s="86"/>
      <c r="N9" s="89" t="s">
        <v>53</v>
      </c>
      <c r="O9" s="90"/>
      <c r="P9" s="90">
        <f>O7-P8</f>
        <v>364000</v>
      </c>
    </row>
    <row r="10" spans="1:16" ht="18" customHeight="1" x14ac:dyDescent="0.2">
      <c r="A10" s="11"/>
      <c r="H10" s="63"/>
      <c r="N10" s="62" t="s">
        <v>31</v>
      </c>
      <c r="P10" s="69">
        <f>P9*1%</f>
        <v>3640</v>
      </c>
    </row>
    <row r="11" spans="1:16" ht="18" customHeight="1" thickBot="1" x14ac:dyDescent="0.25">
      <c r="A11" s="11"/>
      <c r="H11" s="63"/>
      <c r="N11" s="62" t="s">
        <v>54</v>
      </c>
      <c r="P11" s="71">
        <f>P9*2%</f>
        <v>7280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360360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387" priority="2"/>
  </conditionalFormatting>
  <conditionalFormatting sqref="B4:B6">
    <cfRule type="duplicateValues" dxfId="386" priority="6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1"/>
  <sheetViews>
    <sheetView zoomScale="110" zoomScaleNormal="110" workbookViewId="0">
      <pane xSplit="3" ySplit="2" topLeftCell="D14" activePane="bottomRight" state="frozen"/>
      <selection pane="topRight" activeCell="B1" sqref="B1"/>
      <selection pane="bottomLeft" activeCell="A3" sqref="A3"/>
      <selection pane="bottomRight" activeCell="M19" sqref="L19:M1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401490</v>
      </c>
      <c r="B3" s="73" t="s">
        <v>649</v>
      </c>
      <c r="C3" s="9" t="s">
        <v>650</v>
      </c>
      <c r="D3" s="75" t="s">
        <v>83</v>
      </c>
      <c r="E3" s="13">
        <v>44490</v>
      </c>
      <c r="F3" s="75" t="s">
        <v>119</v>
      </c>
      <c r="G3" s="13" t="s">
        <v>581</v>
      </c>
      <c r="H3" s="10" t="s">
        <v>582</v>
      </c>
      <c r="I3" s="1">
        <v>46</v>
      </c>
      <c r="J3" s="1">
        <v>32</v>
      </c>
      <c r="K3" s="1">
        <v>48</v>
      </c>
      <c r="L3" s="1">
        <v>19</v>
      </c>
      <c r="M3" s="79">
        <v>17.664000000000001</v>
      </c>
      <c r="N3" s="103">
        <v>19</v>
      </c>
      <c r="O3" s="64">
        <v>7000</v>
      </c>
      <c r="P3" s="65">
        <f>Table22457891011234567891011121314151617181920212223242526272829303132333435[[#This Row],[PEMBULATAN]]*O3</f>
        <v>133000</v>
      </c>
    </row>
    <row r="4" spans="1:16" ht="26.25" customHeight="1" x14ac:dyDescent="0.2">
      <c r="A4" s="14"/>
      <c r="B4" s="74"/>
      <c r="C4" s="9" t="s">
        <v>651</v>
      </c>
      <c r="D4" s="75" t="s">
        <v>83</v>
      </c>
      <c r="E4" s="13">
        <v>44490</v>
      </c>
      <c r="F4" s="75" t="s">
        <v>119</v>
      </c>
      <c r="G4" s="13" t="s">
        <v>581</v>
      </c>
      <c r="H4" s="10" t="s">
        <v>582</v>
      </c>
      <c r="I4" s="1">
        <v>77</v>
      </c>
      <c r="J4" s="1">
        <v>78</v>
      </c>
      <c r="K4" s="1">
        <v>7</v>
      </c>
      <c r="L4" s="1">
        <v>6</v>
      </c>
      <c r="M4" s="79">
        <v>10.5105</v>
      </c>
      <c r="N4" s="103">
        <v>10.5105</v>
      </c>
      <c r="O4" s="64">
        <v>7000</v>
      </c>
      <c r="P4" s="65">
        <f>Table22457891011234567891011121314151617181920212223242526272829303132333435[[#This Row],[PEMBULATAN]]*O4</f>
        <v>73573.5</v>
      </c>
    </row>
    <row r="5" spans="1:16" ht="26.25" customHeight="1" x14ac:dyDescent="0.2">
      <c r="A5" s="14"/>
      <c r="B5" s="74"/>
      <c r="C5" s="95" t="s">
        <v>652</v>
      </c>
      <c r="D5" s="96" t="s">
        <v>83</v>
      </c>
      <c r="E5" s="97">
        <v>44490</v>
      </c>
      <c r="F5" s="98" t="s">
        <v>119</v>
      </c>
      <c r="G5" s="97" t="s">
        <v>581</v>
      </c>
      <c r="H5" s="99" t="s">
        <v>582</v>
      </c>
      <c r="I5" s="100">
        <v>116</v>
      </c>
      <c r="J5" s="100">
        <v>27</v>
      </c>
      <c r="K5" s="100">
        <v>16</v>
      </c>
      <c r="L5" s="100">
        <v>8</v>
      </c>
      <c r="M5" s="101">
        <v>12.528</v>
      </c>
      <c r="N5" s="107">
        <v>12.528</v>
      </c>
      <c r="O5" s="64">
        <v>7000</v>
      </c>
      <c r="P5" s="65">
        <f>Table22457891011234567891011121314151617181920212223242526272829303132333435[[#This Row],[PEMBULATAN]]*O5</f>
        <v>87696</v>
      </c>
    </row>
    <row r="6" spans="1:16" ht="26.25" customHeight="1" x14ac:dyDescent="0.2">
      <c r="A6" s="14"/>
      <c r="B6" s="74"/>
      <c r="C6" s="95" t="s">
        <v>653</v>
      </c>
      <c r="D6" s="96" t="s">
        <v>83</v>
      </c>
      <c r="E6" s="97">
        <v>44490</v>
      </c>
      <c r="F6" s="98" t="s">
        <v>119</v>
      </c>
      <c r="G6" s="97" t="s">
        <v>581</v>
      </c>
      <c r="H6" s="99" t="s">
        <v>582</v>
      </c>
      <c r="I6" s="100">
        <v>163</v>
      </c>
      <c r="J6" s="100">
        <v>38</v>
      </c>
      <c r="K6" s="100">
        <v>20</v>
      </c>
      <c r="L6" s="100">
        <v>1</v>
      </c>
      <c r="M6" s="101">
        <v>30.97</v>
      </c>
      <c r="N6" s="107">
        <v>30.97</v>
      </c>
      <c r="O6" s="64">
        <v>7000</v>
      </c>
      <c r="P6" s="65">
        <f>Table22457891011234567891011121314151617181920212223242526272829303132333435[[#This Row],[PEMBULATAN]]*O6</f>
        <v>216790</v>
      </c>
    </row>
    <row r="7" spans="1:16" ht="26.25" customHeight="1" x14ac:dyDescent="0.2">
      <c r="A7" s="14"/>
      <c r="B7" s="74"/>
      <c r="C7" s="95" t="s">
        <v>654</v>
      </c>
      <c r="D7" s="96" t="s">
        <v>83</v>
      </c>
      <c r="E7" s="97">
        <v>44490</v>
      </c>
      <c r="F7" s="98" t="s">
        <v>119</v>
      </c>
      <c r="G7" s="97" t="s">
        <v>581</v>
      </c>
      <c r="H7" s="99" t="s">
        <v>582</v>
      </c>
      <c r="I7" s="100">
        <v>42</v>
      </c>
      <c r="J7" s="100">
        <v>29</v>
      </c>
      <c r="K7" s="100">
        <v>25</v>
      </c>
      <c r="L7" s="100">
        <v>6</v>
      </c>
      <c r="M7" s="101">
        <v>7.6124999999999998</v>
      </c>
      <c r="N7" s="107">
        <v>7.6124999999999998</v>
      </c>
      <c r="O7" s="64">
        <v>7000</v>
      </c>
      <c r="P7" s="65">
        <f>Table22457891011234567891011121314151617181920212223242526272829303132333435[[#This Row],[PEMBULATAN]]*O7</f>
        <v>53287.5</v>
      </c>
    </row>
    <row r="8" spans="1:16" ht="26.25" customHeight="1" x14ac:dyDescent="0.2">
      <c r="A8" s="14"/>
      <c r="B8" s="74"/>
      <c r="C8" s="95" t="s">
        <v>655</v>
      </c>
      <c r="D8" s="96" t="s">
        <v>83</v>
      </c>
      <c r="E8" s="97">
        <v>44490</v>
      </c>
      <c r="F8" s="98" t="s">
        <v>119</v>
      </c>
      <c r="G8" s="97" t="s">
        <v>581</v>
      </c>
      <c r="H8" s="99" t="s">
        <v>582</v>
      </c>
      <c r="I8" s="100">
        <v>76</v>
      </c>
      <c r="J8" s="100">
        <v>57</v>
      </c>
      <c r="K8" s="100">
        <v>57</v>
      </c>
      <c r="L8" s="100">
        <v>38</v>
      </c>
      <c r="M8" s="101">
        <v>61.731000000000002</v>
      </c>
      <c r="N8" s="107">
        <v>61.731000000000002</v>
      </c>
      <c r="O8" s="64">
        <v>7000</v>
      </c>
      <c r="P8" s="65">
        <f>Table22457891011234567891011121314151617181920212223242526272829303132333435[[#This Row],[PEMBULATAN]]*O8</f>
        <v>432117</v>
      </c>
    </row>
    <row r="9" spans="1:16" ht="26.25" customHeight="1" x14ac:dyDescent="0.2">
      <c r="A9" s="14"/>
      <c r="B9" s="74"/>
      <c r="C9" s="95" t="s">
        <v>656</v>
      </c>
      <c r="D9" s="96" t="s">
        <v>83</v>
      </c>
      <c r="E9" s="97">
        <v>44490</v>
      </c>
      <c r="F9" s="98" t="s">
        <v>119</v>
      </c>
      <c r="G9" s="97" t="s">
        <v>581</v>
      </c>
      <c r="H9" s="99" t="s">
        <v>582</v>
      </c>
      <c r="I9" s="100">
        <v>116</v>
      </c>
      <c r="J9" s="100">
        <v>32</v>
      </c>
      <c r="K9" s="100">
        <v>32</v>
      </c>
      <c r="L9" s="100">
        <v>5</v>
      </c>
      <c r="M9" s="101">
        <v>29.696000000000002</v>
      </c>
      <c r="N9" s="107">
        <v>29.696000000000002</v>
      </c>
      <c r="O9" s="64">
        <v>7000</v>
      </c>
      <c r="P9" s="65">
        <f>Table22457891011234567891011121314151617181920212223242526272829303132333435[[#This Row],[PEMBULATAN]]*O9</f>
        <v>207872</v>
      </c>
    </row>
    <row r="10" spans="1:16" ht="26.25" customHeight="1" x14ac:dyDescent="0.2">
      <c r="A10" s="14"/>
      <c r="B10" s="74"/>
      <c r="C10" s="95" t="s">
        <v>657</v>
      </c>
      <c r="D10" s="96" t="s">
        <v>83</v>
      </c>
      <c r="E10" s="97">
        <v>44490</v>
      </c>
      <c r="F10" s="98" t="s">
        <v>119</v>
      </c>
      <c r="G10" s="97" t="s">
        <v>581</v>
      </c>
      <c r="H10" s="99" t="s">
        <v>582</v>
      </c>
      <c r="I10" s="100">
        <v>78</v>
      </c>
      <c r="J10" s="100">
        <v>59</v>
      </c>
      <c r="K10" s="100">
        <v>21</v>
      </c>
      <c r="L10" s="100">
        <v>28</v>
      </c>
      <c r="M10" s="101">
        <v>24.160499999999999</v>
      </c>
      <c r="N10" s="107">
        <v>28</v>
      </c>
      <c r="O10" s="64">
        <v>7000</v>
      </c>
      <c r="P10" s="65">
        <f>Table22457891011234567891011121314151617181920212223242526272829303132333435[[#This Row],[PEMBULATAN]]*O10</f>
        <v>196000</v>
      </c>
    </row>
    <row r="11" spans="1:16" ht="26.25" customHeight="1" x14ac:dyDescent="0.2">
      <c r="A11" s="14"/>
      <c r="B11" s="74"/>
      <c r="C11" s="95" t="s">
        <v>658</v>
      </c>
      <c r="D11" s="96" t="s">
        <v>83</v>
      </c>
      <c r="E11" s="97">
        <v>44490</v>
      </c>
      <c r="F11" s="98" t="s">
        <v>119</v>
      </c>
      <c r="G11" s="97" t="s">
        <v>581</v>
      </c>
      <c r="H11" s="99" t="s">
        <v>582</v>
      </c>
      <c r="I11" s="100">
        <v>90</v>
      </c>
      <c r="J11" s="100">
        <v>24</v>
      </c>
      <c r="K11" s="100">
        <v>24</v>
      </c>
      <c r="L11" s="100">
        <v>9</v>
      </c>
      <c r="M11" s="101">
        <v>12.96</v>
      </c>
      <c r="N11" s="107">
        <v>12.96</v>
      </c>
      <c r="O11" s="64">
        <v>7000</v>
      </c>
      <c r="P11" s="65">
        <f>Table22457891011234567891011121314151617181920212223242526272829303132333435[[#This Row],[PEMBULATAN]]*O11</f>
        <v>90720</v>
      </c>
    </row>
    <row r="12" spans="1:16" ht="26.25" customHeight="1" x14ac:dyDescent="0.2">
      <c r="A12" s="14"/>
      <c r="B12" s="74"/>
      <c r="C12" s="95" t="s">
        <v>659</v>
      </c>
      <c r="D12" s="96" t="s">
        <v>83</v>
      </c>
      <c r="E12" s="97">
        <v>44490</v>
      </c>
      <c r="F12" s="98" t="s">
        <v>119</v>
      </c>
      <c r="G12" s="97" t="s">
        <v>581</v>
      </c>
      <c r="H12" s="99" t="s">
        <v>582</v>
      </c>
      <c r="I12" s="100">
        <v>68</v>
      </c>
      <c r="J12" s="100">
        <v>39</v>
      </c>
      <c r="K12" s="100">
        <v>18</v>
      </c>
      <c r="L12" s="100">
        <v>5</v>
      </c>
      <c r="M12" s="101">
        <v>11.933999999999999</v>
      </c>
      <c r="N12" s="107">
        <v>11.933999999999999</v>
      </c>
      <c r="O12" s="64">
        <v>7000</v>
      </c>
      <c r="P12" s="65">
        <f>Table22457891011234567891011121314151617181920212223242526272829303132333435[[#This Row],[PEMBULATAN]]*O12</f>
        <v>83538</v>
      </c>
    </row>
    <row r="13" spans="1:16" ht="26.25" customHeight="1" x14ac:dyDescent="0.2">
      <c r="A13" s="14"/>
      <c r="B13" s="74"/>
      <c r="C13" s="95" t="s">
        <v>660</v>
      </c>
      <c r="D13" s="96" t="s">
        <v>83</v>
      </c>
      <c r="E13" s="97">
        <v>44490</v>
      </c>
      <c r="F13" s="98" t="s">
        <v>119</v>
      </c>
      <c r="G13" s="97" t="s">
        <v>581</v>
      </c>
      <c r="H13" s="99" t="s">
        <v>582</v>
      </c>
      <c r="I13" s="100">
        <v>51</v>
      </c>
      <c r="J13" s="100">
        <v>33</v>
      </c>
      <c r="K13" s="100">
        <v>48</v>
      </c>
      <c r="L13" s="100">
        <v>30</v>
      </c>
      <c r="M13" s="101">
        <v>20.196000000000002</v>
      </c>
      <c r="N13" s="107">
        <v>30</v>
      </c>
      <c r="O13" s="64">
        <v>7000</v>
      </c>
      <c r="P13" s="65">
        <f>Table22457891011234567891011121314151617181920212223242526272829303132333435[[#This Row],[PEMBULATAN]]*O13</f>
        <v>210000</v>
      </c>
    </row>
    <row r="14" spans="1:16" ht="26.25" customHeight="1" x14ac:dyDescent="0.2">
      <c r="A14" s="14"/>
      <c r="B14" s="74"/>
      <c r="C14" s="95" t="s">
        <v>661</v>
      </c>
      <c r="D14" s="96" t="s">
        <v>83</v>
      </c>
      <c r="E14" s="97">
        <v>44490</v>
      </c>
      <c r="F14" s="98" t="s">
        <v>119</v>
      </c>
      <c r="G14" s="97" t="s">
        <v>581</v>
      </c>
      <c r="H14" s="99" t="s">
        <v>582</v>
      </c>
      <c r="I14" s="100">
        <v>41</v>
      </c>
      <c r="J14" s="100">
        <v>31</v>
      </c>
      <c r="K14" s="100">
        <v>13</v>
      </c>
      <c r="L14" s="100">
        <v>4</v>
      </c>
      <c r="M14" s="101">
        <v>4.1307499999999999</v>
      </c>
      <c r="N14" s="107">
        <v>4.1307499999999999</v>
      </c>
      <c r="O14" s="64">
        <v>7000</v>
      </c>
      <c r="P14" s="65">
        <f>Table22457891011234567891011121314151617181920212223242526272829303132333435[[#This Row],[PEMBULATAN]]*O14</f>
        <v>28915.25</v>
      </c>
    </row>
    <row r="15" spans="1:16" ht="26.25" customHeight="1" x14ac:dyDescent="0.2">
      <c r="A15" s="14"/>
      <c r="B15" s="74"/>
      <c r="C15" s="95" t="s">
        <v>662</v>
      </c>
      <c r="D15" s="96" t="s">
        <v>83</v>
      </c>
      <c r="E15" s="97">
        <v>44490</v>
      </c>
      <c r="F15" s="98" t="s">
        <v>119</v>
      </c>
      <c r="G15" s="97" t="s">
        <v>581</v>
      </c>
      <c r="H15" s="99" t="s">
        <v>582</v>
      </c>
      <c r="I15" s="100">
        <v>52</v>
      </c>
      <c r="J15" s="100">
        <v>34</v>
      </c>
      <c r="K15" s="100">
        <v>26</v>
      </c>
      <c r="L15" s="100">
        <v>20</v>
      </c>
      <c r="M15" s="101">
        <v>11.492000000000001</v>
      </c>
      <c r="N15" s="107">
        <v>20</v>
      </c>
      <c r="O15" s="64">
        <v>7000</v>
      </c>
      <c r="P15" s="65">
        <f>Table22457891011234567891011121314151617181920212223242526272829303132333435[[#This Row],[PEMBULATAN]]*O15</f>
        <v>140000</v>
      </c>
    </row>
    <row r="16" spans="1:16" ht="26.25" customHeight="1" x14ac:dyDescent="0.2">
      <c r="A16" s="14"/>
      <c r="B16" s="74"/>
      <c r="C16" s="95" t="s">
        <v>663</v>
      </c>
      <c r="D16" s="96" t="s">
        <v>83</v>
      </c>
      <c r="E16" s="97">
        <v>44490</v>
      </c>
      <c r="F16" s="98" t="s">
        <v>119</v>
      </c>
      <c r="G16" s="97" t="s">
        <v>581</v>
      </c>
      <c r="H16" s="99" t="s">
        <v>582</v>
      </c>
      <c r="I16" s="100">
        <v>53</v>
      </c>
      <c r="J16" s="100">
        <v>41</v>
      </c>
      <c r="K16" s="100">
        <v>40</v>
      </c>
      <c r="L16" s="100">
        <v>8</v>
      </c>
      <c r="M16" s="101">
        <v>21.73</v>
      </c>
      <c r="N16" s="107">
        <v>21.73</v>
      </c>
      <c r="O16" s="64">
        <v>7000</v>
      </c>
      <c r="P16" s="65">
        <f>Table22457891011234567891011121314151617181920212223242526272829303132333435[[#This Row],[PEMBULATAN]]*O16</f>
        <v>152110</v>
      </c>
    </row>
    <row r="17" spans="1:16" ht="26.25" customHeight="1" x14ac:dyDescent="0.2">
      <c r="A17" s="14"/>
      <c r="B17" s="108"/>
      <c r="C17" s="95" t="s">
        <v>664</v>
      </c>
      <c r="D17" s="96" t="s">
        <v>83</v>
      </c>
      <c r="E17" s="97">
        <v>44490</v>
      </c>
      <c r="F17" s="98" t="s">
        <v>119</v>
      </c>
      <c r="G17" s="97" t="s">
        <v>581</v>
      </c>
      <c r="H17" s="99" t="s">
        <v>582</v>
      </c>
      <c r="I17" s="100">
        <v>53</v>
      </c>
      <c r="J17" s="100">
        <v>40</v>
      </c>
      <c r="K17" s="100">
        <v>24</v>
      </c>
      <c r="L17" s="100">
        <v>13</v>
      </c>
      <c r="M17" s="101">
        <v>12.72</v>
      </c>
      <c r="N17" s="107">
        <v>13</v>
      </c>
      <c r="O17" s="64">
        <v>7000</v>
      </c>
      <c r="P17" s="65">
        <f>Table22457891011234567891011121314151617181920212223242526272829303132333435[[#This Row],[PEMBULATAN]]*O17</f>
        <v>91000</v>
      </c>
    </row>
    <row r="18" spans="1:16" ht="26.25" customHeight="1" x14ac:dyDescent="0.2">
      <c r="A18" s="14"/>
      <c r="B18" s="74" t="s">
        <v>665</v>
      </c>
      <c r="C18" s="95" t="s">
        <v>666</v>
      </c>
      <c r="D18" s="96" t="s">
        <v>83</v>
      </c>
      <c r="E18" s="97">
        <v>44490</v>
      </c>
      <c r="F18" s="98" t="s">
        <v>119</v>
      </c>
      <c r="G18" s="97" t="s">
        <v>581</v>
      </c>
      <c r="H18" s="99" t="s">
        <v>582</v>
      </c>
      <c r="I18" s="100">
        <v>80</v>
      </c>
      <c r="J18" s="100">
        <v>37</v>
      </c>
      <c r="K18" s="100">
        <v>48</v>
      </c>
      <c r="L18" s="100">
        <v>30</v>
      </c>
      <c r="M18" s="101">
        <v>35.520000000000003</v>
      </c>
      <c r="N18" s="107">
        <v>35.520000000000003</v>
      </c>
      <c r="O18" s="64">
        <v>7000</v>
      </c>
      <c r="P18" s="65">
        <f>Table22457891011234567891011121314151617181920212223242526272829303132333435[[#This Row],[PEMBULATAN]]*O18</f>
        <v>248640.00000000003</v>
      </c>
    </row>
    <row r="19" spans="1:16" ht="26.25" customHeight="1" x14ac:dyDescent="0.2">
      <c r="A19" s="14"/>
      <c r="B19" s="74"/>
      <c r="C19" s="95" t="s">
        <v>667</v>
      </c>
      <c r="D19" s="96" t="s">
        <v>83</v>
      </c>
      <c r="E19" s="97">
        <v>44490</v>
      </c>
      <c r="F19" s="98" t="s">
        <v>119</v>
      </c>
      <c r="G19" s="97" t="s">
        <v>581</v>
      </c>
      <c r="H19" s="99" t="s">
        <v>582</v>
      </c>
      <c r="I19" s="100">
        <v>53</v>
      </c>
      <c r="J19" s="100">
        <v>37</v>
      </c>
      <c r="K19" s="100">
        <v>11</v>
      </c>
      <c r="L19" s="100">
        <v>5</v>
      </c>
      <c r="M19" s="101">
        <v>5.3927500000000004</v>
      </c>
      <c r="N19" s="107">
        <v>6</v>
      </c>
      <c r="O19" s="64">
        <v>7000</v>
      </c>
      <c r="P19" s="65">
        <f>Table22457891011234567891011121314151617181920212223242526272829303132333435[[#This Row],[PEMBULATAN]]*O19</f>
        <v>42000</v>
      </c>
    </row>
    <row r="20" spans="1:16" ht="26.25" customHeight="1" x14ac:dyDescent="0.2">
      <c r="A20" s="14"/>
      <c r="B20" s="74"/>
      <c r="C20" s="95" t="s">
        <v>668</v>
      </c>
      <c r="D20" s="96" t="s">
        <v>83</v>
      </c>
      <c r="E20" s="97">
        <v>44490</v>
      </c>
      <c r="F20" s="98" t="s">
        <v>119</v>
      </c>
      <c r="G20" s="97" t="s">
        <v>581</v>
      </c>
      <c r="H20" s="99" t="s">
        <v>582</v>
      </c>
      <c r="I20" s="100">
        <v>77</v>
      </c>
      <c r="J20" s="100">
        <v>22</v>
      </c>
      <c r="K20" s="100">
        <v>21</v>
      </c>
      <c r="L20" s="100">
        <v>18</v>
      </c>
      <c r="M20" s="101">
        <v>8.8934999999999995</v>
      </c>
      <c r="N20" s="107">
        <v>18</v>
      </c>
      <c r="O20" s="64">
        <v>7000</v>
      </c>
      <c r="P20" s="65">
        <f>Table22457891011234567891011121314151617181920212223242526272829303132333435[[#This Row],[PEMBULATAN]]*O20</f>
        <v>126000</v>
      </c>
    </row>
    <row r="21" spans="1:16" ht="22.5" customHeight="1" x14ac:dyDescent="0.2">
      <c r="A21" s="143" t="s">
        <v>30</v>
      </c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5"/>
      <c r="M21" s="78">
        <f>SUBTOTAL(109,Table22457891011234567891011121314151617181920212223242526272829303132333435[KG VOLUME])</f>
        <v>339.8415</v>
      </c>
      <c r="N21" s="68">
        <f>SUM(N3:N20)</f>
        <v>373.32274999999998</v>
      </c>
      <c r="O21" s="146">
        <f>SUM(P3:P20)</f>
        <v>2613259.25</v>
      </c>
      <c r="P21" s="147"/>
    </row>
    <row r="22" spans="1:16" ht="18" customHeight="1" x14ac:dyDescent="0.2">
      <c r="A22" s="85"/>
      <c r="B22" s="56" t="s">
        <v>42</v>
      </c>
      <c r="C22" s="55"/>
      <c r="D22" s="57" t="s">
        <v>43</v>
      </c>
      <c r="E22" s="85"/>
      <c r="F22" s="85"/>
      <c r="G22" s="85"/>
      <c r="H22" s="85"/>
      <c r="I22" s="85"/>
      <c r="J22" s="85"/>
      <c r="K22" s="85"/>
      <c r="L22" s="85"/>
      <c r="M22" s="86"/>
      <c r="N22" s="87" t="s">
        <v>52</v>
      </c>
      <c r="O22" s="88"/>
      <c r="P22" s="88">
        <v>0</v>
      </c>
    </row>
    <row r="23" spans="1:16" ht="18" customHeight="1" thickBot="1" x14ac:dyDescent="0.25">
      <c r="A23" s="85"/>
      <c r="B23" s="56"/>
      <c r="C23" s="55"/>
      <c r="D23" s="57"/>
      <c r="E23" s="85"/>
      <c r="F23" s="85"/>
      <c r="G23" s="85"/>
      <c r="H23" s="85"/>
      <c r="I23" s="85"/>
      <c r="J23" s="85"/>
      <c r="K23" s="85"/>
      <c r="L23" s="85"/>
      <c r="M23" s="86"/>
      <c r="N23" s="89" t="s">
        <v>53</v>
      </c>
      <c r="O23" s="90"/>
      <c r="P23" s="90">
        <f>O21-P22</f>
        <v>2613259.25</v>
      </c>
    </row>
    <row r="24" spans="1:16" ht="18" customHeight="1" x14ac:dyDescent="0.2">
      <c r="A24" s="11"/>
      <c r="H24" s="63"/>
      <c r="N24" s="62" t="s">
        <v>31</v>
      </c>
      <c r="P24" s="69">
        <f>P23*1%</f>
        <v>26132.592499999999</v>
      </c>
    </row>
    <row r="25" spans="1:16" ht="18" customHeight="1" thickBot="1" x14ac:dyDescent="0.25">
      <c r="A25" s="11"/>
      <c r="H25" s="63"/>
      <c r="N25" s="62" t="s">
        <v>54</v>
      </c>
      <c r="P25" s="71">
        <f>P23*2%</f>
        <v>52265.184999999998</v>
      </c>
    </row>
    <row r="26" spans="1:16" ht="18" customHeight="1" x14ac:dyDescent="0.2">
      <c r="A26" s="11"/>
      <c r="H26" s="63"/>
      <c r="N26" s="66" t="s">
        <v>32</v>
      </c>
      <c r="O26" s="67"/>
      <c r="P26" s="70">
        <f>P23+P24-P25</f>
        <v>2587126.6574999997</v>
      </c>
    </row>
    <row r="28" spans="1:16" x14ac:dyDescent="0.2">
      <c r="A28" s="11"/>
      <c r="H28" s="63"/>
      <c r="P28" s="71"/>
    </row>
    <row r="29" spans="1:16" x14ac:dyDescent="0.2">
      <c r="A29" s="11"/>
      <c r="H29" s="63"/>
      <c r="O29" s="58"/>
      <c r="P29" s="71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</sheetData>
  <mergeCells count="2">
    <mergeCell ref="A21:L21"/>
    <mergeCell ref="O21:P21"/>
  </mergeCells>
  <conditionalFormatting sqref="B3">
    <cfRule type="duplicateValues" dxfId="370" priority="2"/>
  </conditionalFormatting>
  <conditionalFormatting sqref="B4:B20">
    <cfRule type="duplicateValues" dxfId="369" priority="6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403918</v>
      </c>
      <c r="B3" s="73" t="s">
        <v>674</v>
      </c>
      <c r="C3" s="9" t="s">
        <v>675</v>
      </c>
      <c r="D3" s="75" t="s">
        <v>83</v>
      </c>
      <c r="E3" s="13">
        <v>44491</v>
      </c>
      <c r="F3" s="75" t="s">
        <v>84</v>
      </c>
      <c r="G3" s="13" t="s">
        <v>676</v>
      </c>
      <c r="H3" s="10" t="s">
        <v>677</v>
      </c>
      <c r="I3" s="1">
        <v>48</v>
      </c>
      <c r="J3" s="1">
        <v>48</v>
      </c>
      <c r="K3" s="1">
        <v>22</v>
      </c>
      <c r="L3" s="1">
        <v>15</v>
      </c>
      <c r="M3" s="79">
        <v>12.672000000000001</v>
      </c>
      <c r="N3" s="8">
        <v>15</v>
      </c>
      <c r="O3" s="64">
        <v>7000</v>
      </c>
      <c r="P3" s="65">
        <f>Table2245789101123456789101112131415161718192021222324252627282930313233343536[[#This Row],[PEMBULATAN]]*O3</f>
        <v>105000</v>
      </c>
    </row>
    <row r="4" spans="1:16" ht="26.25" customHeight="1" x14ac:dyDescent="0.2">
      <c r="A4" s="14"/>
      <c r="B4" s="74"/>
      <c r="C4" s="9" t="s">
        <v>678</v>
      </c>
      <c r="D4" s="75" t="s">
        <v>83</v>
      </c>
      <c r="E4" s="13">
        <v>44491</v>
      </c>
      <c r="F4" s="75" t="s">
        <v>84</v>
      </c>
      <c r="G4" s="13" t="s">
        <v>676</v>
      </c>
      <c r="H4" s="10" t="s">
        <v>677</v>
      </c>
      <c r="I4" s="1">
        <v>26</v>
      </c>
      <c r="J4" s="1">
        <v>26</v>
      </c>
      <c r="K4" s="1">
        <v>23</v>
      </c>
      <c r="L4" s="1">
        <v>8</v>
      </c>
      <c r="M4" s="79">
        <v>3.887</v>
      </c>
      <c r="N4" s="8">
        <v>8</v>
      </c>
      <c r="O4" s="64">
        <v>7000</v>
      </c>
      <c r="P4" s="65">
        <f>Table2245789101123456789101112131415161718192021222324252627282930313233343536[[#This Row],[PEMBULATAN]]*O4</f>
        <v>56000</v>
      </c>
    </row>
    <row r="5" spans="1:16" ht="22.5" customHeight="1" x14ac:dyDescent="0.2">
      <c r="A5" s="143" t="s">
        <v>30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5"/>
      <c r="M5" s="78">
        <f>SUBTOTAL(109,Table2245789101123456789101112131415161718192021222324252627282930313233343536[KG VOLUME])</f>
        <v>16.559000000000001</v>
      </c>
      <c r="N5" s="68">
        <f>SUM(N3:N4)</f>
        <v>23</v>
      </c>
      <c r="O5" s="146">
        <f>SUM(P3:P4)</f>
        <v>161000</v>
      </c>
      <c r="P5" s="147"/>
    </row>
    <row r="6" spans="1:16" ht="18" customHeight="1" x14ac:dyDescent="0.2">
      <c r="A6" s="85"/>
      <c r="B6" s="56" t="s">
        <v>42</v>
      </c>
      <c r="C6" s="55"/>
      <c r="D6" s="57" t="s">
        <v>43</v>
      </c>
      <c r="E6" s="85"/>
      <c r="F6" s="85"/>
      <c r="G6" s="85"/>
      <c r="H6" s="85"/>
      <c r="I6" s="85"/>
      <c r="J6" s="85"/>
      <c r="K6" s="85"/>
      <c r="L6" s="85"/>
      <c r="M6" s="86"/>
      <c r="N6" s="87" t="s">
        <v>52</v>
      </c>
      <c r="O6" s="88"/>
      <c r="P6" s="88">
        <v>0</v>
      </c>
    </row>
    <row r="7" spans="1:16" ht="18" customHeight="1" thickBot="1" x14ac:dyDescent="0.25">
      <c r="A7" s="85"/>
      <c r="B7" s="56"/>
      <c r="C7" s="55"/>
      <c r="D7" s="57"/>
      <c r="E7" s="85"/>
      <c r="F7" s="85"/>
      <c r="G7" s="85"/>
      <c r="H7" s="85"/>
      <c r="I7" s="85"/>
      <c r="J7" s="85"/>
      <c r="K7" s="85"/>
      <c r="L7" s="85"/>
      <c r="M7" s="86"/>
      <c r="N7" s="89" t="s">
        <v>53</v>
      </c>
      <c r="O7" s="90"/>
      <c r="P7" s="90">
        <f>O5-P6</f>
        <v>161000</v>
      </c>
    </row>
    <row r="8" spans="1:16" ht="18" customHeight="1" x14ac:dyDescent="0.2">
      <c r="A8" s="11"/>
      <c r="H8" s="63"/>
      <c r="N8" s="62" t="s">
        <v>31</v>
      </c>
      <c r="P8" s="69">
        <f>P7*1%</f>
        <v>1610</v>
      </c>
    </row>
    <row r="9" spans="1:16" ht="18" customHeight="1" thickBot="1" x14ac:dyDescent="0.25">
      <c r="A9" s="11"/>
      <c r="H9" s="63"/>
      <c r="N9" s="62" t="s">
        <v>54</v>
      </c>
      <c r="P9" s="71">
        <f>P7*2%</f>
        <v>3220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159390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353" priority="2"/>
  </conditionalFormatting>
  <conditionalFormatting sqref="B4">
    <cfRule type="duplicateValues" dxfId="352" priority="6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30" customHeight="1" x14ac:dyDescent="0.2">
      <c r="A3" s="82">
        <v>401492</v>
      </c>
      <c r="B3" s="73" t="s">
        <v>679</v>
      </c>
      <c r="C3" s="9" t="s">
        <v>680</v>
      </c>
      <c r="D3" s="75" t="s">
        <v>83</v>
      </c>
      <c r="E3" s="13">
        <v>44491</v>
      </c>
      <c r="F3" s="75" t="s">
        <v>84</v>
      </c>
      <c r="G3" s="13" t="s">
        <v>676</v>
      </c>
      <c r="H3" s="10" t="s">
        <v>677</v>
      </c>
      <c r="I3" s="1">
        <v>78</v>
      </c>
      <c r="J3" s="1">
        <v>54</v>
      </c>
      <c r="K3" s="1">
        <v>27</v>
      </c>
      <c r="L3" s="1">
        <v>10</v>
      </c>
      <c r="M3" s="79">
        <v>28.431000000000001</v>
      </c>
      <c r="N3" s="103">
        <v>29</v>
      </c>
      <c r="O3" s="64">
        <v>7000</v>
      </c>
      <c r="P3" s="65">
        <f>Table224578910112345678910111213141516171819202122232425262728293031323334353637[[#This Row],[PEMBULATAN]]*O3</f>
        <v>203000</v>
      </c>
    </row>
    <row r="4" spans="1:16" ht="30" customHeight="1" x14ac:dyDescent="0.2">
      <c r="A4" s="14"/>
      <c r="B4" s="74"/>
      <c r="C4" s="9" t="s">
        <v>681</v>
      </c>
      <c r="D4" s="75" t="s">
        <v>83</v>
      </c>
      <c r="E4" s="13">
        <v>44491</v>
      </c>
      <c r="F4" s="75" t="s">
        <v>84</v>
      </c>
      <c r="G4" s="13" t="s">
        <v>676</v>
      </c>
      <c r="H4" s="10" t="s">
        <v>677</v>
      </c>
      <c r="I4" s="1">
        <v>62</v>
      </c>
      <c r="J4" s="1">
        <v>62</v>
      </c>
      <c r="K4" s="1">
        <v>16</v>
      </c>
      <c r="L4" s="1">
        <v>9</v>
      </c>
      <c r="M4" s="79">
        <v>15.375999999999999</v>
      </c>
      <c r="N4" s="103">
        <v>16</v>
      </c>
      <c r="O4" s="64">
        <v>7000</v>
      </c>
      <c r="P4" s="65">
        <f>Table224578910112345678910111213141516171819202122232425262728293031323334353637[[#This Row],[PEMBULATAN]]*O4</f>
        <v>112000</v>
      </c>
    </row>
    <row r="5" spans="1:16" ht="30" customHeight="1" x14ac:dyDescent="0.2">
      <c r="A5" s="14"/>
      <c r="B5" s="74"/>
      <c r="C5" s="95" t="s">
        <v>682</v>
      </c>
      <c r="D5" s="96" t="s">
        <v>83</v>
      </c>
      <c r="E5" s="97">
        <v>44491</v>
      </c>
      <c r="F5" s="98" t="s">
        <v>84</v>
      </c>
      <c r="G5" s="97" t="s">
        <v>676</v>
      </c>
      <c r="H5" s="99" t="s">
        <v>677</v>
      </c>
      <c r="I5" s="100">
        <v>38</v>
      </c>
      <c r="J5" s="100">
        <v>29</v>
      </c>
      <c r="K5" s="100">
        <v>27</v>
      </c>
      <c r="L5" s="100">
        <v>10</v>
      </c>
      <c r="M5" s="101">
        <v>7.4385000000000003</v>
      </c>
      <c r="N5" s="107">
        <v>10</v>
      </c>
      <c r="O5" s="64">
        <v>7000</v>
      </c>
      <c r="P5" s="65">
        <f>Table224578910112345678910111213141516171819202122232425262728293031323334353637[[#This Row],[PEMBULATAN]]*O5</f>
        <v>70000</v>
      </c>
    </row>
    <row r="6" spans="1:16" ht="30" customHeight="1" x14ac:dyDescent="0.2">
      <c r="A6" s="14"/>
      <c r="B6" s="74"/>
      <c r="C6" s="95" t="s">
        <v>683</v>
      </c>
      <c r="D6" s="96" t="s">
        <v>83</v>
      </c>
      <c r="E6" s="97">
        <v>44491</v>
      </c>
      <c r="F6" s="98" t="s">
        <v>84</v>
      </c>
      <c r="G6" s="97" t="s">
        <v>676</v>
      </c>
      <c r="H6" s="99" t="s">
        <v>677</v>
      </c>
      <c r="I6" s="100">
        <v>62</v>
      </c>
      <c r="J6" s="100">
        <v>46</v>
      </c>
      <c r="K6" s="100">
        <v>16</v>
      </c>
      <c r="L6" s="100">
        <v>7</v>
      </c>
      <c r="M6" s="101">
        <v>11.407999999999999</v>
      </c>
      <c r="N6" s="107">
        <v>12</v>
      </c>
      <c r="O6" s="64">
        <v>7000</v>
      </c>
      <c r="P6" s="65">
        <f>Table224578910112345678910111213141516171819202122232425262728293031323334353637[[#This Row],[PEMBULATAN]]*O6</f>
        <v>84000</v>
      </c>
    </row>
    <row r="7" spans="1:16" ht="30" customHeight="1" x14ac:dyDescent="0.2">
      <c r="A7" s="14"/>
      <c r="B7" s="74"/>
      <c r="C7" s="95" t="s">
        <v>684</v>
      </c>
      <c r="D7" s="96" t="s">
        <v>83</v>
      </c>
      <c r="E7" s="97">
        <v>44491</v>
      </c>
      <c r="F7" s="98" t="s">
        <v>84</v>
      </c>
      <c r="G7" s="97" t="s">
        <v>676</v>
      </c>
      <c r="H7" s="99" t="s">
        <v>677</v>
      </c>
      <c r="I7" s="100">
        <v>53</v>
      </c>
      <c r="J7" s="100">
        <v>50</v>
      </c>
      <c r="K7" s="100">
        <v>17</v>
      </c>
      <c r="L7" s="100">
        <v>7</v>
      </c>
      <c r="M7" s="101">
        <v>11.262499999999999</v>
      </c>
      <c r="N7" s="107">
        <v>11.262499999999999</v>
      </c>
      <c r="O7" s="64">
        <v>7000</v>
      </c>
      <c r="P7" s="65">
        <f>Table224578910112345678910111213141516171819202122232425262728293031323334353637[[#This Row],[PEMBULATAN]]*O7</f>
        <v>78837.5</v>
      </c>
    </row>
    <row r="8" spans="1:16" ht="30" customHeight="1" x14ac:dyDescent="0.2">
      <c r="A8" s="14"/>
      <c r="B8" s="74"/>
      <c r="C8" s="95" t="s">
        <v>685</v>
      </c>
      <c r="D8" s="96" t="s">
        <v>83</v>
      </c>
      <c r="E8" s="97">
        <v>44491</v>
      </c>
      <c r="F8" s="98" t="s">
        <v>84</v>
      </c>
      <c r="G8" s="97" t="s">
        <v>676</v>
      </c>
      <c r="H8" s="99" t="s">
        <v>677</v>
      </c>
      <c r="I8" s="100">
        <v>44</v>
      </c>
      <c r="J8" s="100">
        <v>40</v>
      </c>
      <c r="K8" s="100">
        <v>27</v>
      </c>
      <c r="L8" s="100">
        <v>25</v>
      </c>
      <c r="M8" s="101">
        <v>11.88</v>
      </c>
      <c r="N8" s="107">
        <v>25</v>
      </c>
      <c r="O8" s="64">
        <v>7000</v>
      </c>
      <c r="P8" s="65">
        <f>Table224578910112345678910111213141516171819202122232425262728293031323334353637[[#This Row],[PEMBULATAN]]*O8</f>
        <v>175000</v>
      </c>
    </row>
    <row r="9" spans="1:16" ht="30" customHeight="1" x14ac:dyDescent="0.2">
      <c r="A9" s="14"/>
      <c r="B9" s="74"/>
      <c r="C9" s="95" t="s">
        <v>686</v>
      </c>
      <c r="D9" s="96" t="s">
        <v>83</v>
      </c>
      <c r="E9" s="97">
        <v>44491</v>
      </c>
      <c r="F9" s="98" t="s">
        <v>84</v>
      </c>
      <c r="G9" s="97" t="s">
        <v>676</v>
      </c>
      <c r="H9" s="99" t="s">
        <v>677</v>
      </c>
      <c r="I9" s="100">
        <v>47</v>
      </c>
      <c r="J9" s="100">
        <v>28</v>
      </c>
      <c r="K9" s="100">
        <v>20</v>
      </c>
      <c r="L9" s="100">
        <v>5</v>
      </c>
      <c r="M9" s="101">
        <v>6.58</v>
      </c>
      <c r="N9" s="107">
        <v>6.58</v>
      </c>
      <c r="O9" s="64">
        <v>7000</v>
      </c>
      <c r="P9" s="65">
        <f>Table224578910112345678910111213141516171819202122232425262728293031323334353637[[#This Row],[PEMBULATAN]]*O9</f>
        <v>46060</v>
      </c>
    </row>
    <row r="10" spans="1:16" ht="30" customHeight="1" x14ac:dyDescent="0.2">
      <c r="A10" s="14"/>
      <c r="B10" s="74"/>
      <c r="C10" s="95" t="s">
        <v>687</v>
      </c>
      <c r="D10" s="96" t="s">
        <v>83</v>
      </c>
      <c r="E10" s="97">
        <v>44491</v>
      </c>
      <c r="F10" s="98" t="s">
        <v>84</v>
      </c>
      <c r="G10" s="97" t="s">
        <v>676</v>
      </c>
      <c r="H10" s="99" t="s">
        <v>677</v>
      </c>
      <c r="I10" s="100">
        <v>42</v>
      </c>
      <c r="J10" s="100">
        <v>23</v>
      </c>
      <c r="K10" s="100">
        <v>27</v>
      </c>
      <c r="L10" s="100">
        <v>12</v>
      </c>
      <c r="M10" s="101">
        <v>6.5205000000000002</v>
      </c>
      <c r="N10" s="107">
        <v>12</v>
      </c>
      <c r="O10" s="64">
        <v>7000</v>
      </c>
      <c r="P10" s="65">
        <f>Table224578910112345678910111213141516171819202122232425262728293031323334353637[[#This Row],[PEMBULATAN]]*O10</f>
        <v>84000</v>
      </c>
    </row>
    <row r="11" spans="1:16" ht="30" customHeight="1" x14ac:dyDescent="0.2">
      <c r="A11" s="14"/>
      <c r="B11" s="74"/>
      <c r="C11" s="95" t="s">
        <v>688</v>
      </c>
      <c r="D11" s="96" t="s">
        <v>83</v>
      </c>
      <c r="E11" s="97">
        <v>44491</v>
      </c>
      <c r="F11" s="98" t="s">
        <v>84</v>
      </c>
      <c r="G11" s="97" t="s">
        <v>676</v>
      </c>
      <c r="H11" s="99" t="s">
        <v>677</v>
      </c>
      <c r="I11" s="100">
        <v>65</v>
      </c>
      <c r="J11" s="100">
        <v>40</v>
      </c>
      <c r="K11" s="100">
        <v>33</v>
      </c>
      <c r="L11" s="100">
        <v>5</v>
      </c>
      <c r="M11" s="101">
        <v>21.45</v>
      </c>
      <c r="N11" s="107">
        <v>22</v>
      </c>
      <c r="O11" s="64">
        <v>7000</v>
      </c>
      <c r="P11" s="65">
        <f>Table224578910112345678910111213141516171819202122232425262728293031323334353637[[#This Row],[PEMBULATAN]]*O11</f>
        <v>154000</v>
      </c>
    </row>
    <row r="12" spans="1:16" ht="30" customHeight="1" x14ac:dyDescent="0.2">
      <c r="A12" s="14"/>
      <c r="B12" s="74"/>
      <c r="C12" s="95" t="s">
        <v>689</v>
      </c>
      <c r="D12" s="96" t="s">
        <v>83</v>
      </c>
      <c r="E12" s="97">
        <v>44491</v>
      </c>
      <c r="F12" s="98" t="s">
        <v>84</v>
      </c>
      <c r="G12" s="97" t="s">
        <v>676</v>
      </c>
      <c r="H12" s="99" t="s">
        <v>677</v>
      </c>
      <c r="I12" s="100">
        <v>78</v>
      </c>
      <c r="J12" s="100">
        <v>33</v>
      </c>
      <c r="K12" s="100">
        <v>13</v>
      </c>
      <c r="L12" s="100">
        <v>12</v>
      </c>
      <c r="M12" s="101">
        <v>8.3655000000000008</v>
      </c>
      <c r="N12" s="107">
        <v>12</v>
      </c>
      <c r="O12" s="64">
        <v>7000</v>
      </c>
      <c r="P12" s="65">
        <f>Table224578910112345678910111213141516171819202122232425262728293031323334353637[[#This Row],[PEMBULATAN]]*O12</f>
        <v>84000</v>
      </c>
    </row>
    <row r="13" spans="1:16" ht="30" customHeight="1" x14ac:dyDescent="0.2">
      <c r="A13" s="14"/>
      <c r="B13" s="74"/>
      <c r="C13" s="95" t="s">
        <v>690</v>
      </c>
      <c r="D13" s="96" t="s">
        <v>83</v>
      </c>
      <c r="E13" s="97">
        <v>44491</v>
      </c>
      <c r="F13" s="98" t="s">
        <v>84</v>
      </c>
      <c r="G13" s="97" t="s">
        <v>676</v>
      </c>
      <c r="H13" s="99" t="s">
        <v>677</v>
      </c>
      <c r="I13" s="100">
        <v>38</v>
      </c>
      <c r="J13" s="100">
        <v>35</v>
      </c>
      <c r="K13" s="100">
        <v>20</v>
      </c>
      <c r="L13" s="100">
        <v>9</v>
      </c>
      <c r="M13" s="101">
        <v>6.65</v>
      </c>
      <c r="N13" s="107">
        <v>9</v>
      </c>
      <c r="O13" s="64">
        <v>7000</v>
      </c>
      <c r="P13" s="65">
        <f>Table224578910112345678910111213141516171819202122232425262728293031323334353637[[#This Row],[PEMBULATAN]]*O13</f>
        <v>63000</v>
      </c>
    </row>
    <row r="14" spans="1:16" ht="30" customHeight="1" x14ac:dyDescent="0.2">
      <c r="A14" s="14"/>
      <c r="B14" s="74"/>
      <c r="C14" s="95" t="s">
        <v>691</v>
      </c>
      <c r="D14" s="96" t="s">
        <v>83</v>
      </c>
      <c r="E14" s="97">
        <v>44491</v>
      </c>
      <c r="F14" s="98" t="s">
        <v>84</v>
      </c>
      <c r="G14" s="97" t="s">
        <v>676</v>
      </c>
      <c r="H14" s="99" t="s">
        <v>677</v>
      </c>
      <c r="I14" s="100">
        <v>173</v>
      </c>
      <c r="J14" s="100">
        <v>55</v>
      </c>
      <c r="K14" s="100">
        <v>12</v>
      </c>
      <c r="L14" s="100">
        <v>19</v>
      </c>
      <c r="M14" s="101">
        <v>28.545000000000002</v>
      </c>
      <c r="N14" s="107">
        <v>28.545000000000002</v>
      </c>
      <c r="O14" s="64">
        <v>7000</v>
      </c>
      <c r="P14" s="65">
        <f>Table224578910112345678910111213141516171819202122232425262728293031323334353637[[#This Row],[PEMBULATAN]]*O14</f>
        <v>199815</v>
      </c>
    </row>
    <row r="15" spans="1:16" ht="30" customHeight="1" x14ac:dyDescent="0.2">
      <c r="A15" s="14"/>
      <c r="B15" s="74"/>
      <c r="C15" s="95" t="s">
        <v>692</v>
      </c>
      <c r="D15" s="96" t="s">
        <v>83</v>
      </c>
      <c r="E15" s="97">
        <v>44491</v>
      </c>
      <c r="F15" s="98" t="s">
        <v>84</v>
      </c>
      <c r="G15" s="97" t="s">
        <v>676</v>
      </c>
      <c r="H15" s="99" t="s">
        <v>677</v>
      </c>
      <c r="I15" s="100">
        <v>63</v>
      </c>
      <c r="J15" s="100">
        <v>32</v>
      </c>
      <c r="K15" s="100">
        <v>18</v>
      </c>
      <c r="L15" s="100">
        <v>16</v>
      </c>
      <c r="M15" s="101">
        <v>9.0719999999999992</v>
      </c>
      <c r="N15" s="107">
        <v>16</v>
      </c>
      <c r="O15" s="64">
        <v>7000</v>
      </c>
      <c r="P15" s="65">
        <f>Table224578910112345678910111213141516171819202122232425262728293031323334353637[[#This Row],[PEMBULATAN]]*O15</f>
        <v>112000</v>
      </c>
    </row>
    <row r="16" spans="1:16" ht="30" customHeight="1" x14ac:dyDescent="0.2">
      <c r="A16" s="14"/>
      <c r="B16" s="74"/>
      <c r="C16" s="95" t="s">
        <v>693</v>
      </c>
      <c r="D16" s="96" t="s">
        <v>83</v>
      </c>
      <c r="E16" s="97">
        <v>44491</v>
      </c>
      <c r="F16" s="98" t="s">
        <v>84</v>
      </c>
      <c r="G16" s="97" t="s">
        <v>676</v>
      </c>
      <c r="H16" s="99" t="s">
        <v>677</v>
      </c>
      <c r="I16" s="100">
        <v>44</v>
      </c>
      <c r="J16" s="100">
        <v>33</v>
      </c>
      <c r="K16" s="100">
        <v>21</v>
      </c>
      <c r="L16" s="100">
        <v>5</v>
      </c>
      <c r="M16" s="101">
        <v>7.6230000000000002</v>
      </c>
      <c r="N16" s="107">
        <v>7.6230000000000002</v>
      </c>
      <c r="O16" s="64">
        <v>7000</v>
      </c>
      <c r="P16" s="65">
        <f>Table224578910112345678910111213141516171819202122232425262728293031323334353637[[#This Row],[PEMBULATAN]]*O16</f>
        <v>53361</v>
      </c>
    </row>
    <row r="17" spans="1:16" ht="30" customHeight="1" x14ac:dyDescent="0.2">
      <c r="A17" s="14"/>
      <c r="B17" s="74"/>
      <c r="C17" s="95" t="s">
        <v>694</v>
      </c>
      <c r="D17" s="96" t="s">
        <v>83</v>
      </c>
      <c r="E17" s="97">
        <v>44491</v>
      </c>
      <c r="F17" s="98" t="s">
        <v>84</v>
      </c>
      <c r="G17" s="97" t="s">
        <v>676</v>
      </c>
      <c r="H17" s="99" t="s">
        <v>677</v>
      </c>
      <c r="I17" s="100">
        <v>75</v>
      </c>
      <c r="J17" s="100">
        <v>70</v>
      </c>
      <c r="K17" s="100">
        <v>13</v>
      </c>
      <c r="L17" s="100">
        <v>10</v>
      </c>
      <c r="M17" s="101">
        <v>17.0625</v>
      </c>
      <c r="N17" s="107">
        <v>17.0625</v>
      </c>
      <c r="O17" s="64">
        <v>7000</v>
      </c>
      <c r="P17" s="65">
        <f>Table224578910112345678910111213141516171819202122232425262728293031323334353637[[#This Row],[PEMBULATAN]]*O17</f>
        <v>119437.5</v>
      </c>
    </row>
    <row r="18" spans="1:16" ht="30" customHeight="1" x14ac:dyDescent="0.2">
      <c r="A18" s="14"/>
      <c r="B18" s="74"/>
      <c r="C18" s="95" t="s">
        <v>695</v>
      </c>
      <c r="D18" s="96" t="s">
        <v>83</v>
      </c>
      <c r="E18" s="97">
        <v>44491</v>
      </c>
      <c r="F18" s="98" t="s">
        <v>84</v>
      </c>
      <c r="G18" s="97" t="s">
        <v>676</v>
      </c>
      <c r="H18" s="99" t="s">
        <v>677</v>
      </c>
      <c r="I18" s="100">
        <v>45</v>
      </c>
      <c r="J18" s="100">
        <v>33</v>
      </c>
      <c r="K18" s="100">
        <v>18</v>
      </c>
      <c r="L18" s="100">
        <v>8</v>
      </c>
      <c r="M18" s="101">
        <v>6.6825000000000001</v>
      </c>
      <c r="N18" s="107">
        <v>8</v>
      </c>
      <c r="O18" s="64">
        <v>7000</v>
      </c>
      <c r="P18" s="65">
        <f>Table224578910112345678910111213141516171819202122232425262728293031323334353637[[#This Row],[PEMBULATAN]]*O18</f>
        <v>56000</v>
      </c>
    </row>
    <row r="19" spans="1:16" ht="30" customHeight="1" x14ac:dyDescent="0.2">
      <c r="A19" s="14"/>
      <c r="B19" s="74"/>
      <c r="C19" s="95" t="s">
        <v>696</v>
      </c>
      <c r="D19" s="96" t="s">
        <v>83</v>
      </c>
      <c r="E19" s="97">
        <v>44491</v>
      </c>
      <c r="F19" s="98" t="s">
        <v>84</v>
      </c>
      <c r="G19" s="97" t="s">
        <v>676</v>
      </c>
      <c r="H19" s="99" t="s">
        <v>677</v>
      </c>
      <c r="I19" s="100">
        <v>43</v>
      </c>
      <c r="J19" s="100">
        <v>25</v>
      </c>
      <c r="K19" s="100">
        <v>34</v>
      </c>
      <c r="L19" s="100">
        <v>16</v>
      </c>
      <c r="M19" s="101">
        <v>9.1374999999999993</v>
      </c>
      <c r="N19" s="107">
        <v>16</v>
      </c>
      <c r="O19" s="64">
        <v>7000</v>
      </c>
      <c r="P19" s="65">
        <f>Table224578910112345678910111213141516171819202122232425262728293031323334353637[[#This Row],[PEMBULATAN]]*O19</f>
        <v>112000</v>
      </c>
    </row>
    <row r="20" spans="1:16" ht="30" customHeight="1" x14ac:dyDescent="0.2">
      <c r="A20" s="14"/>
      <c r="B20" s="74"/>
      <c r="C20" s="95" t="s">
        <v>697</v>
      </c>
      <c r="D20" s="96" t="s">
        <v>83</v>
      </c>
      <c r="E20" s="97">
        <v>44491</v>
      </c>
      <c r="F20" s="98" t="s">
        <v>84</v>
      </c>
      <c r="G20" s="97" t="s">
        <v>676</v>
      </c>
      <c r="H20" s="99" t="s">
        <v>677</v>
      </c>
      <c r="I20" s="100">
        <v>65</v>
      </c>
      <c r="J20" s="100">
        <v>30</v>
      </c>
      <c r="K20" s="100">
        <v>18</v>
      </c>
      <c r="L20" s="100">
        <v>5</v>
      </c>
      <c r="M20" s="101">
        <v>8.7750000000000004</v>
      </c>
      <c r="N20" s="107">
        <v>8.7750000000000004</v>
      </c>
      <c r="O20" s="64">
        <v>7000</v>
      </c>
      <c r="P20" s="65">
        <f>Table224578910112345678910111213141516171819202122232425262728293031323334353637[[#This Row],[PEMBULATAN]]*O20</f>
        <v>61425</v>
      </c>
    </row>
    <row r="21" spans="1:16" ht="30" customHeight="1" x14ac:dyDescent="0.2">
      <c r="A21" s="14"/>
      <c r="B21" s="74"/>
      <c r="C21" s="95" t="s">
        <v>698</v>
      </c>
      <c r="D21" s="96" t="s">
        <v>83</v>
      </c>
      <c r="E21" s="97">
        <v>44491</v>
      </c>
      <c r="F21" s="98" t="s">
        <v>84</v>
      </c>
      <c r="G21" s="97" t="s">
        <v>676</v>
      </c>
      <c r="H21" s="99" t="s">
        <v>677</v>
      </c>
      <c r="I21" s="100">
        <v>76</v>
      </c>
      <c r="J21" s="100">
        <v>43</v>
      </c>
      <c r="K21" s="100">
        <v>90</v>
      </c>
      <c r="L21" s="100">
        <v>50</v>
      </c>
      <c r="M21" s="101">
        <v>73.53</v>
      </c>
      <c r="N21" s="107">
        <v>73.53</v>
      </c>
      <c r="O21" s="64">
        <v>7000</v>
      </c>
      <c r="P21" s="65">
        <f>Table224578910112345678910111213141516171819202122232425262728293031323334353637[[#This Row],[PEMBULATAN]]*O21</f>
        <v>514710</v>
      </c>
    </row>
    <row r="22" spans="1:16" ht="30" customHeight="1" x14ac:dyDescent="0.2">
      <c r="A22" s="14"/>
      <c r="B22" s="108"/>
      <c r="C22" s="95" t="s">
        <v>699</v>
      </c>
      <c r="D22" s="96" t="s">
        <v>83</v>
      </c>
      <c r="E22" s="97">
        <v>44491</v>
      </c>
      <c r="F22" s="98" t="s">
        <v>84</v>
      </c>
      <c r="G22" s="97" t="s">
        <v>676</v>
      </c>
      <c r="H22" s="99" t="s">
        <v>677</v>
      </c>
      <c r="I22" s="100">
        <v>57</v>
      </c>
      <c r="J22" s="100">
        <v>50</v>
      </c>
      <c r="K22" s="100">
        <v>30</v>
      </c>
      <c r="L22" s="100">
        <v>15</v>
      </c>
      <c r="M22" s="101">
        <v>21.375</v>
      </c>
      <c r="N22" s="107">
        <v>22</v>
      </c>
      <c r="O22" s="64">
        <v>7000</v>
      </c>
      <c r="P22" s="65">
        <f>Table224578910112345678910111213141516171819202122232425262728293031323334353637[[#This Row],[PEMBULATAN]]*O22</f>
        <v>154000</v>
      </c>
    </row>
    <row r="23" spans="1:16" ht="30" customHeight="1" x14ac:dyDescent="0.2">
      <c r="A23" s="14"/>
      <c r="B23" s="74" t="s">
        <v>700</v>
      </c>
      <c r="C23" s="95" t="s">
        <v>701</v>
      </c>
      <c r="D23" s="96" t="s">
        <v>83</v>
      </c>
      <c r="E23" s="97">
        <v>44491</v>
      </c>
      <c r="F23" s="98" t="s">
        <v>84</v>
      </c>
      <c r="G23" s="97" t="s">
        <v>676</v>
      </c>
      <c r="H23" s="99" t="s">
        <v>677</v>
      </c>
      <c r="I23" s="100">
        <v>55</v>
      </c>
      <c r="J23" s="100">
        <v>40</v>
      </c>
      <c r="K23" s="100">
        <v>18</v>
      </c>
      <c r="L23" s="100">
        <v>5</v>
      </c>
      <c r="M23" s="101">
        <v>9.9</v>
      </c>
      <c r="N23" s="107">
        <v>9.9</v>
      </c>
      <c r="O23" s="64">
        <v>7000</v>
      </c>
      <c r="P23" s="65">
        <f>Table224578910112345678910111213141516171819202122232425262728293031323334353637[[#This Row],[PEMBULATAN]]*O23</f>
        <v>69300</v>
      </c>
    </row>
    <row r="24" spans="1:16" ht="30" customHeight="1" x14ac:dyDescent="0.2">
      <c r="A24" s="14"/>
      <c r="B24" s="74"/>
      <c r="C24" s="95" t="s">
        <v>702</v>
      </c>
      <c r="D24" s="96" t="s">
        <v>83</v>
      </c>
      <c r="E24" s="97">
        <v>44491</v>
      </c>
      <c r="F24" s="98" t="s">
        <v>84</v>
      </c>
      <c r="G24" s="97" t="s">
        <v>676</v>
      </c>
      <c r="H24" s="99" t="s">
        <v>677</v>
      </c>
      <c r="I24" s="100">
        <v>58</v>
      </c>
      <c r="J24" s="100">
        <v>36</v>
      </c>
      <c r="K24" s="100">
        <v>13</v>
      </c>
      <c r="L24" s="100">
        <v>5</v>
      </c>
      <c r="M24" s="101">
        <v>6.7859999999999996</v>
      </c>
      <c r="N24" s="107">
        <v>6.7859999999999996</v>
      </c>
      <c r="O24" s="64">
        <v>7000</v>
      </c>
      <c r="P24" s="65">
        <f>Table224578910112345678910111213141516171819202122232425262728293031323334353637[[#This Row],[PEMBULATAN]]*O24</f>
        <v>47502</v>
      </c>
    </row>
    <row r="25" spans="1:16" ht="30" customHeight="1" x14ac:dyDescent="0.2">
      <c r="A25" s="14"/>
      <c r="B25" s="74"/>
      <c r="C25" s="95" t="s">
        <v>703</v>
      </c>
      <c r="D25" s="96" t="s">
        <v>83</v>
      </c>
      <c r="E25" s="97">
        <v>44491</v>
      </c>
      <c r="F25" s="98" t="s">
        <v>84</v>
      </c>
      <c r="G25" s="97" t="s">
        <v>676</v>
      </c>
      <c r="H25" s="99" t="s">
        <v>677</v>
      </c>
      <c r="I25" s="100">
        <v>54</v>
      </c>
      <c r="J25" s="100">
        <v>27</v>
      </c>
      <c r="K25" s="100">
        <v>30</v>
      </c>
      <c r="L25" s="100">
        <v>30</v>
      </c>
      <c r="M25" s="101">
        <v>10.935</v>
      </c>
      <c r="N25" s="107">
        <v>30</v>
      </c>
      <c r="O25" s="64">
        <v>7000</v>
      </c>
      <c r="P25" s="65">
        <f>Table224578910112345678910111213141516171819202122232425262728293031323334353637[[#This Row],[PEMBULATAN]]*O25</f>
        <v>210000</v>
      </c>
    </row>
    <row r="26" spans="1:16" ht="30" customHeight="1" x14ac:dyDescent="0.2">
      <c r="A26" s="14"/>
      <c r="B26" s="74"/>
      <c r="C26" s="95" t="s">
        <v>704</v>
      </c>
      <c r="D26" s="96" t="s">
        <v>83</v>
      </c>
      <c r="E26" s="97">
        <v>44491</v>
      </c>
      <c r="F26" s="98" t="s">
        <v>84</v>
      </c>
      <c r="G26" s="97" t="s">
        <v>676</v>
      </c>
      <c r="H26" s="99" t="s">
        <v>677</v>
      </c>
      <c r="I26" s="100">
        <v>58</v>
      </c>
      <c r="J26" s="100">
        <v>38</v>
      </c>
      <c r="K26" s="100">
        <v>15</v>
      </c>
      <c r="L26" s="100">
        <v>4</v>
      </c>
      <c r="M26" s="101">
        <v>8.2650000000000006</v>
      </c>
      <c r="N26" s="107">
        <v>8.2650000000000006</v>
      </c>
      <c r="O26" s="64">
        <v>7000</v>
      </c>
      <c r="P26" s="65">
        <f>Table224578910112345678910111213141516171819202122232425262728293031323334353637[[#This Row],[PEMBULATAN]]*O26</f>
        <v>57855.000000000007</v>
      </c>
    </row>
    <row r="27" spans="1:16" ht="22.5" customHeight="1" x14ac:dyDescent="0.2">
      <c r="A27" s="143" t="s">
        <v>30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5"/>
      <c r="M27" s="78">
        <f>SUBTOTAL(109,Table224578910112345678910111213141516171819202122232425262728293031323334353637[KG VOLUME])</f>
        <v>353.05049999999994</v>
      </c>
      <c r="N27" s="68">
        <f>SUM(N3:N26)</f>
        <v>417.32899999999989</v>
      </c>
      <c r="O27" s="146">
        <f>SUM(P3:P26)</f>
        <v>2921303</v>
      </c>
      <c r="P27" s="147"/>
    </row>
    <row r="28" spans="1:16" ht="18" customHeight="1" x14ac:dyDescent="0.2">
      <c r="A28" s="85"/>
      <c r="B28" s="56" t="s">
        <v>42</v>
      </c>
      <c r="C28" s="55"/>
      <c r="D28" s="57" t="s">
        <v>43</v>
      </c>
      <c r="E28" s="85"/>
      <c r="F28" s="85"/>
      <c r="G28" s="85"/>
      <c r="H28" s="85"/>
      <c r="I28" s="85"/>
      <c r="J28" s="85"/>
      <c r="K28" s="85"/>
      <c r="L28" s="85"/>
      <c r="M28" s="86"/>
      <c r="N28" s="87" t="s">
        <v>52</v>
      </c>
      <c r="O28" s="88"/>
      <c r="P28" s="88">
        <v>0</v>
      </c>
    </row>
    <row r="29" spans="1:16" ht="18" customHeight="1" thickBot="1" x14ac:dyDescent="0.25">
      <c r="A29" s="85"/>
      <c r="B29" s="56"/>
      <c r="C29" s="55"/>
      <c r="D29" s="57"/>
      <c r="E29" s="85"/>
      <c r="F29" s="85"/>
      <c r="G29" s="85"/>
      <c r="H29" s="85"/>
      <c r="I29" s="85"/>
      <c r="J29" s="85"/>
      <c r="K29" s="85"/>
      <c r="L29" s="85"/>
      <c r="M29" s="86"/>
      <c r="N29" s="89" t="s">
        <v>53</v>
      </c>
      <c r="O29" s="90"/>
      <c r="P29" s="90">
        <f>O27-P28</f>
        <v>2921303</v>
      </c>
    </row>
    <row r="30" spans="1:16" ht="18" customHeight="1" x14ac:dyDescent="0.2">
      <c r="A30" s="11"/>
      <c r="H30" s="63"/>
      <c r="N30" s="62" t="s">
        <v>31</v>
      </c>
      <c r="P30" s="69">
        <f>P29*1%</f>
        <v>29213.03</v>
      </c>
    </row>
    <row r="31" spans="1:16" ht="18" customHeight="1" thickBot="1" x14ac:dyDescent="0.25">
      <c r="A31" s="11"/>
      <c r="H31" s="63"/>
      <c r="N31" s="62" t="s">
        <v>54</v>
      </c>
      <c r="P31" s="71">
        <f>P29*2%</f>
        <v>58426.06</v>
      </c>
    </row>
    <row r="32" spans="1:16" ht="18" customHeight="1" x14ac:dyDescent="0.2">
      <c r="A32" s="11"/>
      <c r="H32" s="63"/>
      <c r="N32" s="66" t="s">
        <v>32</v>
      </c>
      <c r="O32" s="67"/>
      <c r="P32" s="70">
        <f>P29+P30-P31</f>
        <v>2892089.9699999997</v>
      </c>
    </row>
    <row r="34" spans="1:16" x14ac:dyDescent="0.2">
      <c r="A34" s="11"/>
      <c r="H34" s="63"/>
      <c r="P34" s="71"/>
    </row>
    <row r="35" spans="1:16" x14ac:dyDescent="0.2">
      <c r="A35" s="11"/>
      <c r="H35" s="63"/>
      <c r="O35" s="58"/>
      <c r="P35" s="71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</sheetData>
  <mergeCells count="2">
    <mergeCell ref="A27:L27"/>
    <mergeCell ref="O27:P27"/>
  </mergeCells>
  <conditionalFormatting sqref="B3">
    <cfRule type="duplicateValues" dxfId="336" priority="2"/>
  </conditionalFormatting>
  <conditionalFormatting sqref="B4:B26">
    <cfRule type="duplicateValues" dxfId="335" priority="6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7" sqref="O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403920</v>
      </c>
      <c r="B3" s="73" t="s">
        <v>705</v>
      </c>
      <c r="C3" s="9" t="s">
        <v>706</v>
      </c>
      <c r="D3" s="75" t="s">
        <v>83</v>
      </c>
      <c r="E3" s="13">
        <v>44492</v>
      </c>
      <c r="F3" s="75" t="s">
        <v>84</v>
      </c>
      <c r="G3" s="13" t="s">
        <v>676</v>
      </c>
      <c r="H3" s="10" t="s">
        <v>677</v>
      </c>
      <c r="I3" s="1">
        <v>77</v>
      </c>
      <c r="J3" s="1">
        <v>11</v>
      </c>
      <c r="K3" s="1">
        <v>10</v>
      </c>
      <c r="L3" s="1">
        <v>5</v>
      </c>
      <c r="M3" s="79">
        <v>2.1175000000000002</v>
      </c>
      <c r="N3" s="103">
        <v>5</v>
      </c>
      <c r="O3" s="64">
        <v>7000</v>
      </c>
      <c r="P3" s="65">
        <f>Table22457891011234567891011121314151617181920212223242526272829303132333435363738[[#This Row],[PEMBULATAN]]*O3</f>
        <v>35000</v>
      </c>
    </row>
    <row r="4" spans="1:16" ht="26.25" customHeight="1" x14ac:dyDescent="0.2">
      <c r="A4" s="14"/>
      <c r="B4" s="108"/>
      <c r="C4" s="9" t="s">
        <v>707</v>
      </c>
      <c r="D4" s="75" t="s">
        <v>83</v>
      </c>
      <c r="E4" s="13">
        <v>44492</v>
      </c>
      <c r="F4" s="75" t="s">
        <v>84</v>
      </c>
      <c r="G4" s="13" t="s">
        <v>676</v>
      </c>
      <c r="H4" s="10" t="s">
        <v>677</v>
      </c>
      <c r="I4" s="1">
        <v>53</v>
      </c>
      <c r="J4" s="1">
        <v>40</v>
      </c>
      <c r="K4" s="1">
        <v>36</v>
      </c>
      <c r="L4" s="1">
        <v>10</v>
      </c>
      <c r="M4" s="79">
        <v>19.079999999999998</v>
      </c>
      <c r="N4" s="103">
        <v>19.079999999999998</v>
      </c>
      <c r="O4" s="64">
        <v>7000</v>
      </c>
      <c r="P4" s="65">
        <f>Table22457891011234567891011121314151617181920212223242526272829303132333435363738[[#This Row],[PEMBULATAN]]*O4</f>
        <v>133560</v>
      </c>
    </row>
    <row r="5" spans="1:16" ht="26.25" customHeight="1" x14ac:dyDescent="0.2">
      <c r="A5" s="14"/>
      <c r="B5" s="74" t="s">
        <v>708</v>
      </c>
      <c r="C5" s="95" t="s">
        <v>709</v>
      </c>
      <c r="D5" s="96" t="s">
        <v>83</v>
      </c>
      <c r="E5" s="97">
        <v>44492</v>
      </c>
      <c r="F5" s="98" t="s">
        <v>84</v>
      </c>
      <c r="G5" s="97" t="s">
        <v>676</v>
      </c>
      <c r="H5" s="99" t="s">
        <v>677</v>
      </c>
      <c r="I5" s="100">
        <v>37</v>
      </c>
      <c r="J5" s="100">
        <v>30</v>
      </c>
      <c r="K5" s="100">
        <v>12</v>
      </c>
      <c r="L5" s="100">
        <v>8</v>
      </c>
      <c r="M5" s="101">
        <v>3.33</v>
      </c>
      <c r="N5" s="107">
        <v>8</v>
      </c>
      <c r="O5" s="64">
        <v>7000</v>
      </c>
      <c r="P5" s="65">
        <f>Table22457891011234567891011121314151617181920212223242526272829303132333435363738[[#This Row],[PEMBULATAN]]*O5</f>
        <v>56000</v>
      </c>
    </row>
    <row r="6" spans="1:16" ht="22.5" customHeight="1" x14ac:dyDescent="0.2">
      <c r="A6" s="143" t="s">
        <v>30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5"/>
      <c r="M6" s="78">
        <f>SUBTOTAL(109,Table22457891011234567891011121314151617181920212223242526272829303132333435363738[KG VOLUME])</f>
        <v>24.527499999999996</v>
      </c>
      <c r="N6" s="68">
        <f>SUM(N3:N5)</f>
        <v>32.08</v>
      </c>
      <c r="O6" s="146">
        <f>SUM(P3:P5)</f>
        <v>224560</v>
      </c>
      <c r="P6" s="147"/>
    </row>
    <row r="7" spans="1:16" ht="18" customHeight="1" x14ac:dyDescent="0.2">
      <c r="A7" s="85"/>
      <c r="B7" s="56" t="s">
        <v>42</v>
      </c>
      <c r="C7" s="55"/>
      <c r="D7" s="57" t="s">
        <v>43</v>
      </c>
      <c r="E7" s="85"/>
      <c r="F7" s="85"/>
      <c r="G7" s="85"/>
      <c r="H7" s="85"/>
      <c r="I7" s="85"/>
      <c r="J7" s="85"/>
      <c r="K7" s="85"/>
      <c r="L7" s="85"/>
      <c r="M7" s="86"/>
      <c r="N7" s="87" t="s">
        <v>52</v>
      </c>
      <c r="O7" s="88"/>
      <c r="P7" s="88">
        <v>0</v>
      </c>
    </row>
    <row r="8" spans="1:16" ht="18" customHeight="1" thickBot="1" x14ac:dyDescent="0.25">
      <c r="A8" s="85"/>
      <c r="B8" s="56"/>
      <c r="C8" s="55"/>
      <c r="D8" s="57"/>
      <c r="E8" s="85"/>
      <c r="F8" s="85"/>
      <c r="G8" s="85"/>
      <c r="H8" s="85"/>
      <c r="I8" s="85"/>
      <c r="J8" s="85"/>
      <c r="K8" s="85"/>
      <c r="L8" s="85"/>
      <c r="M8" s="86"/>
      <c r="N8" s="89" t="s">
        <v>53</v>
      </c>
      <c r="O8" s="90"/>
      <c r="P8" s="90">
        <f>O6-P7</f>
        <v>224560</v>
      </c>
    </row>
    <row r="9" spans="1:16" ht="18" customHeight="1" x14ac:dyDescent="0.2">
      <c r="A9" s="11"/>
      <c r="H9" s="63"/>
      <c r="N9" s="62" t="s">
        <v>31</v>
      </c>
      <c r="P9" s="69">
        <f>P8*1%</f>
        <v>2245.6</v>
      </c>
    </row>
    <row r="10" spans="1:16" ht="18" customHeight="1" thickBot="1" x14ac:dyDescent="0.25">
      <c r="A10" s="11"/>
      <c r="H10" s="63"/>
      <c r="N10" s="62" t="s">
        <v>54</v>
      </c>
      <c r="P10" s="71">
        <f>P8*2%</f>
        <v>4491.2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222314.4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319" priority="2"/>
  </conditionalFormatting>
  <conditionalFormatting sqref="B4:B5">
    <cfRule type="duplicateValues" dxfId="318" priority="6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6"/>
  <sheetViews>
    <sheetView zoomScale="110" zoomScaleNormal="110" workbookViewId="0">
      <pane xSplit="3" ySplit="2" topLeftCell="D29" activePane="bottomRight" state="frozen"/>
      <selection pane="topRight" activeCell="B1" sqref="B1"/>
      <selection pane="bottomLeft" activeCell="A3" sqref="A3"/>
      <selection pane="bottomRight" activeCell="O37" sqref="O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401495</v>
      </c>
      <c r="B3" s="73" t="s">
        <v>710</v>
      </c>
      <c r="C3" s="9" t="s">
        <v>711</v>
      </c>
      <c r="D3" s="75" t="s">
        <v>83</v>
      </c>
      <c r="E3" s="13">
        <v>44492</v>
      </c>
      <c r="F3" s="75" t="s">
        <v>84</v>
      </c>
      <c r="G3" s="13" t="s">
        <v>676</v>
      </c>
      <c r="H3" s="10" t="s">
        <v>677</v>
      </c>
      <c r="I3" s="1">
        <v>54</v>
      </c>
      <c r="J3" s="1">
        <v>40</v>
      </c>
      <c r="K3" s="1">
        <v>12</v>
      </c>
      <c r="L3" s="1">
        <v>10</v>
      </c>
      <c r="M3" s="79">
        <v>6.48</v>
      </c>
      <c r="N3" s="103">
        <v>10</v>
      </c>
      <c r="O3" s="64">
        <v>7000</v>
      </c>
      <c r="P3" s="65">
        <f>Table2245789101123456789101112131415161718192021222324252627282930313233343536373839[[#This Row],[PEMBULATAN]]*O3</f>
        <v>70000</v>
      </c>
    </row>
    <row r="4" spans="1:16" ht="26.25" customHeight="1" x14ac:dyDescent="0.2">
      <c r="A4" s="14"/>
      <c r="B4" s="74"/>
      <c r="C4" s="9" t="s">
        <v>712</v>
      </c>
      <c r="D4" s="75" t="s">
        <v>83</v>
      </c>
      <c r="E4" s="13">
        <v>44492</v>
      </c>
      <c r="F4" s="75" t="s">
        <v>84</v>
      </c>
      <c r="G4" s="13" t="s">
        <v>676</v>
      </c>
      <c r="H4" s="10" t="s">
        <v>677</v>
      </c>
      <c r="I4" s="1">
        <v>42</v>
      </c>
      <c r="J4" s="1">
        <v>43</v>
      </c>
      <c r="K4" s="1">
        <v>23</v>
      </c>
      <c r="L4" s="1">
        <v>18</v>
      </c>
      <c r="M4" s="79">
        <v>10.384499999999999</v>
      </c>
      <c r="N4" s="103">
        <v>18</v>
      </c>
      <c r="O4" s="64">
        <v>7000</v>
      </c>
      <c r="P4" s="65">
        <f>Table2245789101123456789101112131415161718192021222324252627282930313233343536373839[[#This Row],[PEMBULATAN]]*O4</f>
        <v>126000</v>
      </c>
    </row>
    <row r="5" spans="1:16" ht="26.25" customHeight="1" x14ac:dyDescent="0.2">
      <c r="A5" s="14"/>
      <c r="B5" s="74"/>
      <c r="C5" s="95" t="s">
        <v>713</v>
      </c>
      <c r="D5" s="96" t="s">
        <v>83</v>
      </c>
      <c r="E5" s="97">
        <v>44492</v>
      </c>
      <c r="F5" s="98" t="s">
        <v>84</v>
      </c>
      <c r="G5" s="97" t="s">
        <v>676</v>
      </c>
      <c r="H5" s="99" t="s">
        <v>677</v>
      </c>
      <c r="I5" s="100">
        <v>46</v>
      </c>
      <c r="J5" s="100">
        <v>36</v>
      </c>
      <c r="K5" s="100">
        <v>22</v>
      </c>
      <c r="L5" s="100">
        <v>6</v>
      </c>
      <c r="M5" s="101">
        <v>9.1080000000000005</v>
      </c>
      <c r="N5" s="107">
        <v>9.1080000000000005</v>
      </c>
      <c r="O5" s="64">
        <v>7000</v>
      </c>
      <c r="P5" s="65">
        <f>Table2245789101123456789101112131415161718192021222324252627282930313233343536373839[[#This Row],[PEMBULATAN]]*O5</f>
        <v>63756.000000000007</v>
      </c>
    </row>
    <row r="6" spans="1:16" ht="26.25" customHeight="1" x14ac:dyDescent="0.2">
      <c r="A6" s="14"/>
      <c r="B6" s="74"/>
      <c r="C6" s="95" t="s">
        <v>714</v>
      </c>
      <c r="D6" s="96" t="s">
        <v>83</v>
      </c>
      <c r="E6" s="97">
        <v>44492</v>
      </c>
      <c r="F6" s="98" t="s">
        <v>84</v>
      </c>
      <c r="G6" s="97" t="s">
        <v>676</v>
      </c>
      <c r="H6" s="99" t="s">
        <v>677</v>
      </c>
      <c r="I6" s="100">
        <v>32</v>
      </c>
      <c r="J6" s="100">
        <v>38</v>
      </c>
      <c r="K6" s="100">
        <v>24</v>
      </c>
      <c r="L6" s="100">
        <v>5</v>
      </c>
      <c r="M6" s="101">
        <v>7.2960000000000003</v>
      </c>
      <c r="N6" s="107">
        <v>8</v>
      </c>
      <c r="O6" s="64">
        <v>7000</v>
      </c>
      <c r="P6" s="65">
        <f>Table2245789101123456789101112131415161718192021222324252627282930313233343536373839[[#This Row],[PEMBULATAN]]*O6</f>
        <v>56000</v>
      </c>
    </row>
    <row r="7" spans="1:16" ht="26.25" customHeight="1" x14ac:dyDescent="0.2">
      <c r="A7" s="14"/>
      <c r="B7" s="74"/>
      <c r="C7" s="95" t="s">
        <v>715</v>
      </c>
      <c r="D7" s="96" t="s">
        <v>83</v>
      </c>
      <c r="E7" s="97">
        <v>44492</v>
      </c>
      <c r="F7" s="98" t="s">
        <v>84</v>
      </c>
      <c r="G7" s="97" t="s">
        <v>676</v>
      </c>
      <c r="H7" s="99" t="s">
        <v>677</v>
      </c>
      <c r="I7" s="100">
        <v>54</v>
      </c>
      <c r="J7" s="100">
        <v>44</v>
      </c>
      <c r="K7" s="100">
        <v>35</v>
      </c>
      <c r="L7" s="100">
        <v>12</v>
      </c>
      <c r="M7" s="101">
        <v>20.79</v>
      </c>
      <c r="N7" s="107">
        <v>20.79</v>
      </c>
      <c r="O7" s="64">
        <v>7000</v>
      </c>
      <c r="P7" s="65">
        <f>Table2245789101123456789101112131415161718192021222324252627282930313233343536373839[[#This Row],[PEMBULATAN]]*O7</f>
        <v>145530</v>
      </c>
    </row>
    <row r="8" spans="1:16" ht="26.25" customHeight="1" x14ac:dyDescent="0.2">
      <c r="A8" s="14"/>
      <c r="B8" s="74"/>
      <c r="C8" s="95" t="s">
        <v>716</v>
      </c>
      <c r="D8" s="96" t="s">
        <v>83</v>
      </c>
      <c r="E8" s="97">
        <v>44492</v>
      </c>
      <c r="F8" s="98" t="s">
        <v>84</v>
      </c>
      <c r="G8" s="97" t="s">
        <v>676</v>
      </c>
      <c r="H8" s="99" t="s">
        <v>677</v>
      </c>
      <c r="I8" s="100">
        <v>42</v>
      </c>
      <c r="J8" s="100">
        <v>40</v>
      </c>
      <c r="K8" s="100">
        <v>27</v>
      </c>
      <c r="L8" s="100">
        <v>9</v>
      </c>
      <c r="M8" s="101">
        <v>11.34</v>
      </c>
      <c r="N8" s="107">
        <v>12</v>
      </c>
      <c r="O8" s="64">
        <v>7000</v>
      </c>
      <c r="P8" s="65">
        <f>Table2245789101123456789101112131415161718192021222324252627282930313233343536373839[[#This Row],[PEMBULATAN]]*O8</f>
        <v>84000</v>
      </c>
    </row>
    <row r="9" spans="1:16" ht="26.25" customHeight="1" x14ac:dyDescent="0.2">
      <c r="A9" s="14"/>
      <c r="B9" s="74"/>
      <c r="C9" s="95" t="s">
        <v>717</v>
      </c>
      <c r="D9" s="96" t="s">
        <v>83</v>
      </c>
      <c r="E9" s="97">
        <v>44492</v>
      </c>
      <c r="F9" s="98" t="s">
        <v>84</v>
      </c>
      <c r="G9" s="97" t="s">
        <v>676</v>
      </c>
      <c r="H9" s="99" t="s">
        <v>677</v>
      </c>
      <c r="I9" s="100">
        <v>55</v>
      </c>
      <c r="J9" s="100">
        <v>32</v>
      </c>
      <c r="K9" s="100">
        <v>23</v>
      </c>
      <c r="L9" s="100">
        <v>4</v>
      </c>
      <c r="M9" s="101">
        <v>10.119999999999999</v>
      </c>
      <c r="N9" s="107">
        <v>10.119999999999999</v>
      </c>
      <c r="O9" s="64">
        <v>7000</v>
      </c>
      <c r="P9" s="65">
        <f>Table2245789101123456789101112131415161718192021222324252627282930313233343536373839[[#This Row],[PEMBULATAN]]*O9</f>
        <v>70840</v>
      </c>
    </row>
    <row r="10" spans="1:16" ht="26.25" customHeight="1" x14ac:dyDescent="0.2">
      <c r="A10" s="14"/>
      <c r="B10" s="74"/>
      <c r="C10" s="95" t="s">
        <v>718</v>
      </c>
      <c r="D10" s="96" t="s">
        <v>83</v>
      </c>
      <c r="E10" s="97">
        <v>44492</v>
      </c>
      <c r="F10" s="98" t="s">
        <v>84</v>
      </c>
      <c r="G10" s="97" t="s">
        <v>676</v>
      </c>
      <c r="H10" s="99" t="s">
        <v>677</v>
      </c>
      <c r="I10" s="100">
        <v>55</v>
      </c>
      <c r="J10" s="100">
        <v>50</v>
      </c>
      <c r="K10" s="100">
        <v>30</v>
      </c>
      <c r="L10" s="100">
        <v>17</v>
      </c>
      <c r="M10" s="101">
        <v>20.625</v>
      </c>
      <c r="N10" s="107">
        <v>20.625</v>
      </c>
      <c r="O10" s="64">
        <v>7000</v>
      </c>
      <c r="P10" s="65">
        <f>Table2245789101123456789101112131415161718192021222324252627282930313233343536373839[[#This Row],[PEMBULATAN]]*O10</f>
        <v>144375</v>
      </c>
    </row>
    <row r="11" spans="1:16" ht="26.25" customHeight="1" x14ac:dyDescent="0.2">
      <c r="A11" s="14"/>
      <c r="B11" s="74"/>
      <c r="C11" s="95" t="s">
        <v>719</v>
      </c>
      <c r="D11" s="96" t="s">
        <v>83</v>
      </c>
      <c r="E11" s="97">
        <v>44492</v>
      </c>
      <c r="F11" s="98" t="s">
        <v>84</v>
      </c>
      <c r="G11" s="97" t="s">
        <v>676</v>
      </c>
      <c r="H11" s="99" t="s">
        <v>677</v>
      </c>
      <c r="I11" s="100">
        <v>44</v>
      </c>
      <c r="J11" s="100">
        <v>39</v>
      </c>
      <c r="K11" s="100">
        <v>17</v>
      </c>
      <c r="L11" s="100">
        <v>5</v>
      </c>
      <c r="M11" s="101">
        <v>7.2930000000000001</v>
      </c>
      <c r="N11" s="107">
        <v>7.2930000000000001</v>
      </c>
      <c r="O11" s="64">
        <v>7000</v>
      </c>
      <c r="P11" s="65">
        <f>Table2245789101123456789101112131415161718192021222324252627282930313233343536373839[[#This Row],[PEMBULATAN]]*O11</f>
        <v>51051</v>
      </c>
    </row>
    <row r="12" spans="1:16" ht="26.25" customHeight="1" x14ac:dyDescent="0.2">
      <c r="A12" s="14"/>
      <c r="B12" s="74"/>
      <c r="C12" s="95" t="s">
        <v>720</v>
      </c>
      <c r="D12" s="96" t="s">
        <v>83</v>
      </c>
      <c r="E12" s="97">
        <v>44492</v>
      </c>
      <c r="F12" s="98" t="s">
        <v>84</v>
      </c>
      <c r="G12" s="97" t="s">
        <v>676</v>
      </c>
      <c r="H12" s="99" t="s">
        <v>677</v>
      </c>
      <c r="I12" s="100">
        <v>51</v>
      </c>
      <c r="J12" s="100">
        <v>49</v>
      </c>
      <c r="K12" s="100">
        <v>38</v>
      </c>
      <c r="L12" s="100">
        <v>15</v>
      </c>
      <c r="M12" s="101">
        <v>23.740500000000001</v>
      </c>
      <c r="N12" s="107">
        <v>23.740500000000001</v>
      </c>
      <c r="O12" s="64">
        <v>7000</v>
      </c>
      <c r="P12" s="65">
        <f>Table2245789101123456789101112131415161718192021222324252627282930313233343536373839[[#This Row],[PEMBULATAN]]*O12</f>
        <v>166183.5</v>
      </c>
    </row>
    <row r="13" spans="1:16" ht="26.25" customHeight="1" x14ac:dyDescent="0.2">
      <c r="A13" s="14"/>
      <c r="B13" s="74"/>
      <c r="C13" s="95" t="s">
        <v>721</v>
      </c>
      <c r="D13" s="96" t="s">
        <v>83</v>
      </c>
      <c r="E13" s="97">
        <v>44492</v>
      </c>
      <c r="F13" s="98" t="s">
        <v>84</v>
      </c>
      <c r="G13" s="97" t="s">
        <v>676</v>
      </c>
      <c r="H13" s="99" t="s">
        <v>677</v>
      </c>
      <c r="I13" s="100">
        <v>56</v>
      </c>
      <c r="J13" s="100">
        <v>48</v>
      </c>
      <c r="K13" s="100">
        <v>51</v>
      </c>
      <c r="L13" s="100">
        <v>19</v>
      </c>
      <c r="M13" s="101">
        <v>34.271999999999998</v>
      </c>
      <c r="N13" s="107">
        <v>34.271999999999998</v>
      </c>
      <c r="O13" s="64">
        <v>7000</v>
      </c>
      <c r="P13" s="65">
        <f>Table2245789101123456789101112131415161718192021222324252627282930313233343536373839[[#This Row],[PEMBULATAN]]*O13</f>
        <v>239904</v>
      </c>
    </row>
    <row r="14" spans="1:16" ht="26.25" customHeight="1" x14ac:dyDescent="0.2">
      <c r="A14" s="14"/>
      <c r="B14" s="74"/>
      <c r="C14" s="95" t="s">
        <v>722</v>
      </c>
      <c r="D14" s="96" t="s">
        <v>83</v>
      </c>
      <c r="E14" s="97">
        <v>44492</v>
      </c>
      <c r="F14" s="98" t="s">
        <v>84</v>
      </c>
      <c r="G14" s="97" t="s">
        <v>676</v>
      </c>
      <c r="H14" s="99" t="s">
        <v>677</v>
      </c>
      <c r="I14" s="100">
        <v>83</v>
      </c>
      <c r="J14" s="100">
        <v>51</v>
      </c>
      <c r="K14" s="100">
        <v>29</v>
      </c>
      <c r="L14" s="100">
        <v>20</v>
      </c>
      <c r="M14" s="101">
        <v>30.689250000000001</v>
      </c>
      <c r="N14" s="107">
        <v>30.689250000000001</v>
      </c>
      <c r="O14" s="64">
        <v>7000</v>
      </c>
      <c r="P14" s="65">
        <f>Table2245789101123456789101112131415161718192021222324252627282930313233343536373839[[#This Row],[PEMBULATAN]]*O14</f>
        <v>214824.75</v>
      </c>
    </row>
    <row r="15" spans="1:16" ht="26.25" customHeight="1" x14ac:dyDescent="0.2">
      <c r="A15" s="14"/>
      <c r="B15" s="74"/>
      <c r="C15" s="95" t="s">
        <v>723</v>
      </c>
      <c r="D15" s="96" t="s">
        <v>83</v>
      </c>
      <c r="E15" s="97">
        <v>44492</v>
      </c>
      <c r="F15" s="98" t="s">
        <v>84</v>
      </c>
      <c r="G15" s="97" t="s">
        <v>676</v>
      </c>
      <c r="H15" s="99" t="s">
        <v>677</v>
      </c>
      <c r="I15" s="100">
        <v>70</v>
      </c>
      <c r="J15" s="100">
        <v>40</v>
      </c>
      <c r="K15" s="100">
        <v>22</v>
      </c>
      <c r="L15" s="100">
        <v>8</v>
      </c>
      <c r="M15" s="101">
        <v>15.4</v>
      </c>
      <c r="N15" s="107">
        <v>16</v>
      </c>
      <c r="O15" s="64">
        <v>7000</v>
      </c>
      <c r="P15" s="65">
        <f>Table2245789101123456789101112131415161718192021222324252627282930313233343536373839[[#This Row],[PEMBULATAN]]*O15</f>
        <v>112000</v>
      </c>
    </row>
    <row r="16" spans="1:16" ht="26.25" customHeight="1" x14ac:dyDescent="0.2">
      <c r="A16" s="14"/>
      <c r="B16" s="74"/>
      <c r="C16" s="95" t="s">
        <v>724</v>
      </c>
      <c r="D16" s="96" t="s">
        <v>83</v>
      </c>
      <c r="E16" s="97">
        <v>44492</v>
      </c>
      <c r="F16" s="98" t="s">
        <v>84</v>
      </c>
      <c r="G16" s="97" t="s">
        <v>676</v>
      </c>
      <c r="H16" s="99" t="s">
        <v>677</v>
      </c>
      <c r="I16" s="100">
        <v>81</v>
      </c>
      <c r="J16" s="100">
        <v>29</v>
      </c>
      <c r="K16" s="100">
        <v>29</v>
      </c>
      <c r="L16" s="100">
        <v>16</v>
      </c>
      <c r="M16" s="101">
        <v>17.030249999999999</v>
      </c>
      <c r="N16" s="107">
        <v>17.030249999999999</v>
      </c>
      <c r="O16" s="64">
        <v>7000</v>
      </c>
      <c r="P16" s="65">
        <f>Table2245789101123456789101112131415161718192021222324252627282930313233343536373839[[#This Row],[PEMBULATAN]]*O16</f>
        <v>119211.74999999999</v>
      </c>
    </row>
    <row r="17" spans="1:16" ht="26.25" customHeight="1" x14ac:dyDescent="0.2">
      <c r="A17" s="14"/>
      <c r="B17" s="74"/>
      <c r="C17" s="95" t="s">
        <v>725</v>
      </c>
      <c r="D17" s="96" t="s">
        <v>83</v>
      </c>
      <c r="E17" s="97">
        <v>44492</v>
      </c>
      <c r="F17" s="98" t="s">
        <v>84</v>
      </c>
      <c r="G17" s="97" t="s">
        <v>676</v>
      </c>
      <c r="H17" s="99" t="s">
        <v>677</v>
      </c>
      <c r="I17" s="100">
        <v>36</v>
      </c>
      <c r="J17" s="100">
        <v>32</v>
      </c>
      <c r="K17" s="100">
        <v>10</v>
      </c>
      <c r="L17" s="100">
        <v>7</v>
      </c>
      <c r="M17" s="101">
        <v>2.88</v>
      </c>
      <c r="N17" s="107">
        <v>7</v>
      </c>
      <c r="O17" s="64">
        <v>7000</v>
      </c>
      <c r="P17" s="65">
        <f>Table2245789101123456789101112131415161718192021222324252627282930313233343536373839[[#This Row],[PEMBULATAN]]*O17</f>
        <v>49000</v>
      </c>
    </row>
    <row r="18" spans="1:16" ht="26.25" customHeight="1" x14ac:dyDescent="0.2">
      <c r="A18" s="14"/>
      <c r="B18" s="74"/>
      <c r="C18" s="95" t="s">
        <v>726</v>
      </c>
      <c r="D18" s="96" t="s">
        <v>83</v>
      </c>
      <c r="E18" s="97">
        <v>44492</v>
      </c>
      <c r="F18" s="98" t="s">
        <v>84</v>
      </c>
      <c r="G18" s="97" t="s">
        <v>676</v>
      </c>
      <c r="H18" s="99" t="s">
        <v>677</v>
      </c>
      <c r="I18" s="100">
        <v>165</v>
      </c>
      <c r="J18" s="100">
        <v>40</v>
      </c>
      <c r="K18" s="100">
        <v>85</v>
      </c>
      <c r="L18" s="100">
        <v>6</v>
      </c>
      <c r="M18" s="101">
        <v>140.25</v>
      </c>
      <c r="N18" s="107">
        <v>140.25</v>
      </c>
      <c r="O18" s="64">
        <v>7000</v>
      </c>
      <c r="P18" s="65">
        <f>Table2245789101123456789101112131415161718192021222324252627282930313233343536373839[[#This Row],[PEMBULATAN]]*O18</f>
        <v>981750</v>
      </c>
    </row>
    <row r="19" spans="1:16" ht="26.25" customHeight="1" x14ac:dyDescent="0.2">
      <c r="A19" s="14"/>
      <c r="B19" s="74"/>
      <c r="C19" s="95" t="s">
        <v>727</v>
      </c>
      <c r="D19" s="96" t="s">
        <v>83</v>
      </c>
      <c r="E19" s="97">
        <v>44492</v>
      </c>
      <c r="F19" s="98" t="s">
        <v>84</v>
      </c>
      <c r="G19" s="97" t="s">
        <v>676</v>
      </c>
      <c r="H19" s="99" t="s">
        <v>677</v>
      </c>
      <c r="I19" s="100">
        <v>58</v>
      </c>
      <c r="J19" s="100">
        <v>31</v>
      </c>
      <c r="K19" s="100">
        <v>11</v>
      </c>
      <c r="L19" s="100">
        <v>4</v>
      </c>
      <c r="M19" s="101">
        <v>4.9444999999999997</v>
      </c>
      <c r="N19" s="107">
        <v>4.9444999999999997</v>
      </c>
      <c r="O19" s="64">
        <v>7000</v>
      </c>
      <c r="P19" s="65">
        <f>Table2245789101123456789101112131415161718192021222324252627282930313233343536373839[[#This Row],[PEMBULATAN]]*O19</f>
        <v>34611.5</v>
      </c>
    </row>
    <row r="20" spans="1:16" ht="26.25" customHeight="1" x14ac:dyDescent="0.2">
      <c r="A20" s="14"/>
      <c r="B20" s="74"/>
      <c r="C20" s="95" t="s">
        <v>728</v>
      </c>
      <c r="D20" s="96" t="s">
        <v>83</v>
      </c>
      <c r="E20" s="97">
        <v>44492</v>
      </c>
      <c r="F20" s="98" t="s">
        <v>84</v>
      </c>
      <c r="G20" s="97" t="s">
        <v>676</v>
      </c>
      <c r="H20" s="99" t="s">
        <v>677</v>
      </c>
      <c r="I20" s="100">
        <v>80</v>
      </c>
      <c r="J20" s="100">
        <v>61</v>
      </c>
      <c r="K20" s="100">
        <v>40</v>
      </c>
      <c r="L20" s="100">
        <v>26</v>
      </c>
      <c r="M20" s="101">
        <v>48.8</v>
      </c>
      <c r="N20" s="107">
        <v>48.8</v>
      </c>
      <c r="O20" s="64">
        <v>7000</v>
      </c>
      <c r="P20" s="65">
        <f>Table2245789101123456789101112131415161718192021222324252627282930313233343536373839[[#This Row],[PEMBULATAN]]*O20</f>
        <v>341600</v>
      </c>
    </row>
    <row r="21" spans="1:16" ht="26.25" customHeight="1" x14ac:dyDescent="0.2">
      <c r="A21" s="14"/>
      <c r="B21" s="108"/>
      <c r="C21" s="95" t="s">
        <v>729</v>
      </c>
      <c r="D21" s="96" t="s">
        <v>83</v>
      </c>
      <c r="E21" s="97">
        <v>44492</v>
      </c>
      <c r="F21" s="98" t="s">
        <v>84</v>
      </c>
      <c r="G21" s="97" t="s">
        <v>676</v>
      </c>
      <c r="H21" s="99" t="s">
        <v>677</v>
      </c>
      <c r="I21" s="100">
        <v>115</v>
      </c>
      <c r="J21" s="100">
        <v>110</v>
      </c>
      <c r="K21" s="100">
        <v>50</v>
      </c>
      <c r="L21" s="100">
        <v>11</v>
      </c>
      <c r="M21" s="101">
        <v>158.125</v>
      </c>
      <c r="N21" s="107">
        <v>158.125</v>
      </c>
      <c r="O21" s="64">
        <v>7000</v>
      </c>
      <c r="P21" s="65">
        <f>Table2245789101123456789101112131415161718192021222324252627282930313233343536373839[[#This Row],[PEMBULATAN]]*O21</f>
        <v>1106875</v>
      </c>
    </row>
    <row r="22" spans="1:16" ht="26.25" customHeight="1" x14ac:dyDescent="0.2">
      <c r="A22" s="14"/>
      <c r="B22" s="108" t="s">
        <v>730</v>
      </c>
      <c r="C22" s="95" t="s">
        <v>731</v>
      </c>
      <c r="D22" s="96" t="s">
        <v>83</v>
      </c>
      <c r="E22" s="97">
        <v>44492</v>
      </c>
      <c r="F22" s="98" t="s">
        <v>84</v>
      </c>
      <c r="G22" s="97" t="s">
        <v>676</v>
      </c>
      <c r="H22" s="99" t="s">
        <v>677</v>
      </c>
      <c r="I22" s="100">
        <v>51</v>
      </c>
      <c r="J22" s="100">
        <v>30</v>
      </c>
      <c r="K22" s="100">
        <v>27</v>
      </c>
      <c r="L22" s="100">
        <v>15</v>
      </c>
      <c r="M22" s="101">
        <v>10.327500000000001</v>
      </c>
      <c r="N22" s="107">
        <v>15</v>
      </c>
      <c r="O22" s="64">
        <v>7000</v>
      </c>
      <c r="P22" s="65">
        <f>Table2245789101123456789101112131415161718192021222324252627282930313233343536373839[[#This Row],[PEMBULATAN]]*O22</f>
        <v>105000</v>
      </c>
    </row>
    <row r="23" spans="1:16" ht="26.25" customHeight="1" x14ac:dyDescent="0.2">
      <c r="A23" s="14"/>
      <c r="B23" s="74" t="s">
        <v>732</v>
      </c>
      <c r="C23" s="95" t="s">
        <v>733</v>
      </c>
      <c r="D23" s="96" t="s">
        <v>83</v>
      </c>
      <c r="E23" s="97">
        <v>44492</v>
      </c>
      <c r="F23" s="98" t="s">
        <v>84</v>
      </c>
      <c r="G23" s="97" t="s">
        <v>676</v>
      </c>
      <c r="H23" s="99" t="s">
        <v>677</v>
      </c>
      <c r="I23" s="100">
        <v>35</v>
      </c>
      <c r="J23" s="100">
        <v>35</v>
      </c>
      <c r="K23" s="100">
        <v>18</v>
      </c>
      <c r="L23" s="100">
        <v>11</v>
      </c>
      <c r="M23" s="101">
        <v>5.5125000000000002</v>
      </c>
      <c r="N23" s="107">
        <v>11</v>
      </c>
      <c r="O23" s="64">
        <v>7000</v>
      </c>
      <c r="P23" s="65">
        <f>Table2245789101123456789101112131415161718192021222324252627282930313233343536373839[[#This Row],[PEMBULATAN]]*O23</f>
        <v>77000</v>
      </c>
    </row>
    <row r="24" spans="1:16" ht="26.25" customHeight="1" x14ac:dyDescent="0.2">
      <c r="A24" s="14"/>
      <c r="B24" s="74"/>
      <c r="C24" s="95" t="s">
        <v>734</v>
      </c>
      <c r="D24" s="96" t="s">
        <v>83</v>
      </c>
      <c r="E24" s="97">
        <v>44492</v>
      </c>
      <c r="F24" s="98" t="s">
        <v>84</v>
      </c>
      <c r="G24" s="97" t="s">
        <v>676</v>
      </c>
      <c r="H24" s="99" t="s">
        <v>677</v>
      </c>
      <c r="I24" s="100">
        <v>35</v>
      </c>
      <c r="J24" s="100">
        <v>35</v>
      </c>
      <c r="K24" s="100">
        <v>18</v>
      </c>
      <c r="L24" s="100">
        <v>11</v>
      </c>
      <c r="M24" s="101">
        <v>5.5125000000000002</v>
      </c>
      <c r="N24" s="107">
        <v>11</v>
      </c>
      <c r="O24" s="64">
        <v>7000</v>
      </c>
      <c r="P24" s="65">
        <f>Table2245789101123456789101112131415161718192021222324252627282930313233343536373839[[#This Row],[PEMBULATAN]]*O24</f>
        <v>77000</v>
      </c>
    </row>
    <row r="25" spans="1:16" ht="26.25" customHeight="1" x14ac:dyDescent="0.2">
      <c r="A25" s="14"/>
      <c r="B25" s="74"/>
      <c r="C25" s="95" t="s">
        <v>735</v>
      </c>
      <c r="D25" s="96" t="s">
        <v>83</v>
      </c>
      <c r="E25" s="97">
        <v>44492</v>
      </c>
      <c r="F25" s="98" t="s">
        <v>84</v>
      </c>
      <c r="G25" s="97" t="s">
        <v>676</v>
      </c>
      <c r="H25" s="99" t="s">
        <v>677</v>
      </c>
      <c r="I25" s="100">
        <v>35</v>
      </c>
      <c r="J25" s="100">
        <v>35</v>
      </c>
      <c r="K25" s="100">
        <v>18</v>
      </c>
      <c r="L25" s="100">
        <v>11</v>
      </c>
      <c r="M25" s="101">
        <v>5.5125000000000002</v>
      </c>
      <c r="N25" s="107">
        <v>11</v>
      </c>
      <c r="O25" s="64">
        <v>7000</v>
      </c>
      <c r="P25" s="65">
        <f>Table2245789101123456789101112131415161718192021222324252627282930313233343536373839[[#This Row],[PEMBULATAN]]*O25</f>
        <v>77000</v>
      </c>
    </row>
    <row r="26" spans="1:16" ht="26.25" customHeight="1" x14ac:dyDescent="0.2">
      <c r="A26" s="14"/>
      <c r="B26" s="74"/>
      <c r="C26" s="95" t="s">
        <v>736</v>
      </c>
      <c r="D26" s="96" t="s">
        <v>83</v>
      </c>
      <c r="E26" s="97">
        <v>44492</v>
      </c>
      <c r="F26" s="98" t="s">
        <v>84</v>
      </c>
      <c r="G26" s="97" t="s">
        <v>676</v>
      </c>
      <c r="H26" s="99" t="s">
        <v>677</v>
      </c>
      <c r="I26" s="100">
        <v>32</v>
      </c>
      <c r="J26" s="100">
        <v>22</v>
      </c>
      <c r="K26" s="100">
        <v>18</v>
      </c>
      <c r="L26" s="100">
        <v>7</v>
      </c>
      <c r="M26" s="101">
        <v>3.1680000000000001</v>
      </c>
      <c r="N26" s="107">
        <v>7</v>
      </c>
      <c r="O26" s="64">
        <v>7000</v>
      </c>
      <c r="P26" s="65">
        <f>Table2245789101123456789101112131415161718192021222324252627282930313233343536373839[[#This Row],[PEMBULATAN]]*O26</f>
        <v>49000</v>
      </c>
    </row>
    <row r="27" spans="1:16" ht="26.25" customHeight="1" x14ac:dyDescent="0.2">
      <c r="A27" s="14"/>
      <c r="B27" s="74"/>
      <c r="C27" s="95" t="s">
        <v>737</v>
      </c>
      <c r="D27" s="96" t="s">
        <v>83</v>
      </c>
      <c r="E27" s="97">
        <v>44492</v>
      </c>
      <c r="F27" s="98" t="s">
        <v>84</v>
      </c>
      <c r="G27" s="97" t="s">
        <v>676</v>
      </c>
      <c r="H27" s="99" t="s">
        <v>677</v>
      </c>
      <c r="I27" s="100">
        <v>32</v>
      </c>
      <c r="J27" s="100">
        <v>22</v>
      </c>
      <c r="K27" s="100">
        <v>18</v>
      </c>
      <c r="L27" s="100">
        <v>7</v>
      </c>
      <c r="M27" s="101">
        <v>3.1680000000000001</v>
      </c>
      <c r="N27" s="107">
        <v>7</v>
      </c>
      <c r="O27" s="64">
        <v>7000</v>
      </c>
      <c r="P27" s="65">
        <f>Table2245789101123456789101112131415161718192021222324252627282930313233343536373839[[#This Row],[PEMBULATAN]]*O27</f>
        <v>49000</v>
      </c>
    </row>
    <row r="28" spans="1:16" ht="26.25" customHeight="1" x14ac:dyDescent="0.2">
      <c r="A28" s="14"/>
      <c r="B28" s="74"/>
      <c r="C28" s="95" t="s">
        <v>738</v>
      </c>
      <c r="D28" s="96" t="s">
        <v>83</v>
      </c>
      <c r="E28" s="97">
        <v>44492</v>
      </c>
      <c r="F28" s="98" t="s">
        <v>84</v>
      </c>
      <c r="G28" s="97" t="s">
        <v>676</v>
      </c>
      <c r="H28" s="99" t="s">
        <v>677</v>
      </c>
      <c r="I28" s="100">
        <v>32</v>
      </c>
      <c r="J28" s="100">
        <v>22</v>
      </c>
      <c r="K28" s="100">
        <v>18</v>
      </c>
      <c r="L28" s="100">
        <v>7</v>
      </c>
      <c r="M28" s="101">
        <v>3.1680000000000001</v>
      </c>
      <c r="N28" s="107">
        <v>7</v>
      </c>
      <c r="O28" s="64">
        <v>7000</v>
      </c>
      <c r="P28" s="65">
        <f>Table2245789101123456789101112131415161718192021222324252627282930313233343536373839[[#This Row],[PEMBULATAN]]*O28</f>
        <v>49000</v>
      </c>
    </row>
    <row r="29" spans="1:16" ht="26.25" customHeight="1" x14ac:dyDescent="0.2">
      <c r="A29" s="14"/>
      <c r="B29" s="74"/>
      <c r="C29" s="95" t="s">
        <v>739</v>
      </c>
      <c r="D29" s="96" t="s">
        <v>83</v>
      </c>
      <c r="E29" s="97">
        <v>44492</v>
      </c>
      <c r="F29" s="98" t="s">
        <v>84</v>
      </c>
      <c r="G29" s="97" t="s">
        <v>676</v>
      </c>
      <c r="H29" s="99" t="s">
        <v>677</v>
      </c>
      <c r="I29" s="100">
        <v>43</v>
      </c>
      <c r="J29" s="100">
        <v>34</v>
      </c>
      <c r="K29" s="100">
        <v>30</v>
      </c>
      <c r="L29" s="100">
        <v>9</v>
      </c>
      <c r="M29" s="101">
        <v>10.965</v>
      </c>
      <c r="N29" s="107">
        <v>10.965</v>
      </c>
      <c r="O29" s="64">
        <v>7000</v>
      </c>
      <c r="P29" s="65">
        <f>Table2245789101123456789101112131415161718192021222324252627282930313233343536373839[[#This Row],[PEMBULATAN]]*O29</f>
        <v>76755</v>
      </c>
    </row>
    <row r="30" spans="1:16" ht="26.25" customHeight="1" x14ac:dyDescent="0.2">
      <c r="A30" s="14"/>
      <c r="B30" s="74"/>
      <c r="C30" s="95" t="s">
        <v>740</v>
      </c>
      <c r="D30" s="96" t="s">
        <v>83</v>
      </c>
      <c r="E30" s="97">
        <v>44492</v>
      </c>
      <c r="F30" s="98" t="s">
        <v>84</v>
      </c>
      <c r="G30" s="97" t="s">
        <v>676</v>
      </c>
      <c r="H30" s="99" t="s">
        <v>677</v>
      </c>
      <c r="I30" s="100">
        <v>57</v>
      </c>
      <c r="J30" s="100">
        <v>32</v>
      </c>
      <c r="K30" s="100">
        <v>32</v>
      </c>
      <c r="L30" s="100">
        <v>10</v>
      </c>
      <c r="M30" s="101">
        <v>14.592000000000001</v>
      </c>
      <c r="N30" s="107">
        <v>14.592000000000001</v>
      </c>
      <c r="O30" s="64">
        <v>7000</v>
      </c>
      <c r="P30" s="65">
        <f>Table2245789101123456789101112131415161718192021222324252627282930313233343536373839[[#This Row],[PEMBULATAN]]*O30</f>
        <v>102144</v>
      </c>
    </row>
    <row r="31" spans="1:16" ht="26.25" customHeight="1" x14ac:dyDescent="0.2">
      <c r="A31" s="14"/>
      <c r="B31" s="74"/>
      <c r="C31" s="95" t="s">
        <v>741</v>
      </c>
      <c r="D31" s="96" t="s">
        <v>83</v>
      </c>
      <c r="E31" s="97">
        <v>44492</v>
      </c>
      <c r="F31" s="98" t="s">
        <v>84</v>
      </c>
      <c r="G31" s="97" t="s">
        <v>676</v>
      </c>
      <c r="H31" s="99" t="s">
        <v>677</v>
      </c>
      <c r="I31" s="100">
        <v>44</v>
      </c>
      <c r="J31" s="100">
        <v>28</v>
      </c>
      <c r="K31" s="100">
        <v>14</v>
      </c>
      <c r="L31" s="100">
        <v>10</v>
      </c>
      <c r="M31" s="101">
        <v>4.3120000000000003</v>
      </c>
      <c r="N31" s="107">
        <v>10</v>
      </c>
      <c r="O31" s="64">
        <v>7000</v>
      </c>
      <c r="P31" s="65">
        <f>Table2245789101123456789101112131415161718192021222324252627282930313233343536373839[[#This Row],[PEMBULATAN]]*O31</f>
        <v>70000</v>
      </c>
    </row>
    <row r="32" spans="1:16" ht="26.25" customHeight="1" x14ac:dyDescent="0.2">
      <c r="A32" s="14"/>
      <c r="B32" s="74"/>
      <c r="C32" s="95" t="s">
        <v>742</v>
      </c>
      <c r="D32" s="96" t="s">
        <v>83</v>
      </c>
      <c r="E32" s="97">
        <v>44492</v>
      </c>
      <c r="F32" s="98" t="s">
        <v>84</v>
      </c>
      <c r="G32" s="97" t="s">
        <v>676</v>
      </c>
      <c r="H32" s="99" t="s">
        <v>677</v>
      </c>
      <c r="I32" s="100">
        <v>42</v>
      </c>
      <c r="J32" s="100">
        <v>35</v>
      </c>
      <c r="K32" s="100">
        <v>30</v>
      </c>
      <c r="L32" s="100">
        <v>9</v>
      </c>
      <c r="M32" s="101">
        <v>11.025</v>
      </c>
      <c r="N32" s="107">
        <v>11.025</v>
      </c>
      <c r="O32" s="64">
        <v>7000</v>
      </c>
      <c r="P32" s="65">
        <f>Table2245789101123456789101112131415161718192021222324252627282930313233343536373839[[#This Row],[PEMBULATAN]]*O32</f>
        <v>77175</v>
      </c>
    </row>
    <row r="33" spans="1:16" ht="26.25" customHeight="1" x14ac:dyDescent="0.2">
      <c r="A33" s="14"/>
      <c r="B33" s="74"/>
      <c r="C33" s="95" t="s">
        <v>743</v>
      </c>
      <c r="D33" s="96" t="s">
        <v>83</v>
      </c>
      <c r="E33" s="97">
        <v>44492</v>
      </c>
      <c r="F33" s="98" t="s">
        <v>84</v>
      </c>
      <c r="G33" s="97" t="s">
        <v>676</v>
      </c>
      <c r="H33" s="99" t="s">
        <v>677</v>
      </c>
      <c r="I33" s="100">
        <v>35</v>
      </c>
      <c r="J33" s="100">
        <v>35</v>
      </c>
      <c r="K33" s="100">
        <v>18</v>
      </c>
      <c r="L33" s="100">
        <v>11</v>
      </c>
      <c r="M33" s="101">
        <v>5.5125000000000002</v>
      </c>
      <c r="N33" s="107">
        <v>11</v>
      </c>
      <c r="O33" s="64">
        <v>7000</v>
      </c>
      <c r="P33" s="65">
        <f>Table2245789101123456789101112131415161718192021222324252627282930313233343536373839[[#This Row],[PEMBULATAN]]*O33</f>
        <v>77000</v>
      </c>
    </row>
    <row r="34" spans="1:16" ht="26.25" customHeight="1" x14ac:dyDescent="0.2">
      <c r="A34" s="14"/>
      <c r="B34" s="74"/>
      <c r="C34" s="95" t="s">
        <v>744</v>
      </c>
      <c r="D34" s="96" t="s">
        <v>83</v>
      </c>
      <c r="E34" s="97">
        <v>44492</v>
      </c>
      <c r="F34" s="98" t="s">
        <v>84</v>
      </c>
      <c r="G34" s="97" t="s">
        <v>676</v>
      </c>
      <c r="H34" s="99" t="s">
        <v>677</v>
      </c>
      <c r="I34" s="100">
        <v>35</v>
      </c>
      <c r="J34" s="100">
        <v>35</v>
      </c>
      <c r="K34" s="100">
        <v>18</v>
      </c>
      <c r="L34" s="100">
        <v>11</v>
      </c>
      <c r="M34" s="101">
        <v>5.5125000000000002</v>
      </c>
      <c r="N34" s="107">
        <v>11</v>
      </c>
      <c r="O34" s="64">
        <v>7000</v>
      </c>
      <c r="P34" s="65">
        <f>Table2245789101123456789101112131415161718192021222324252627282930313233343536373839[[#This Row],[PEMBULATAN]]*O34</f>
        <v>77000</v>
      </c>
    </row>
    <row r="35" spans="1:16" ht="26.25" customHeight="1" x14ac:dyDescent="0.2">
      <c r="A35" s="14"/>
      <c r="B35" s="74"/>
      <c r="C35" s="95" t="s">
        <v>745</v>
      </c>
      <c r="D35" s="96" t="s">
        <v>83</v>
      </c>
      <c r="E35" s="97">
        <v>44492</v>
      </c>
      <c r="F35" s="98" t="s">
        <v>84</v>
      </c>
      <c r="G35" s="97" t="s">
        <v>676</v>
      </c>
      <c r="H35" s="99" t="s">
        <v>677</v>
      </c>
      <c r="I35" s="100">
        <v>35</v>
      </c>
      <c r="J35" s="100">
        <v>35</v>
      </c>
      <c r="K35" s="100">
        <v>18</v>
      </c>
      <c r="L35" s="100">
        <v>11</v>
      </c>
      <c r="M35" s="101">
        <v>5.5125000000000002</v>
      </c>
      <c r="N35" s="107">
        <v>11</v>
      </c>
      <c r="O35" s="64">
        <v>7000</v>
      </c>
      <c r="P35" s="65">
        <f>Table2245789101123456789101112131415161718192021222324252627282930313233343536373839[[#This Row],[PEMBULATAN]]*O35</f>
        <v>77000</v>
      </c>
    </row>
    <row r="36" spans="1:16" ht="22.5" customHeight="1" x14ac:dyDescent="0.2">
      <c r="A36" s="143" t="s">
        <v>30</v>
      </c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5"/>
      <c r="M36" s="78">
        <f>SUBTOTAL(109,Table2245789101123456789101112131415161718192021222324252627282930313233343536373839[KG VOLUME])</f>
        <v>673.36850000000027</v>
      </c>
      <c r="N36" s="68">
        <f>SUM(N3:N35)</f>
        <v>745.36950000000002</v>
      </c>
      <c r="O36" s="146">
        <f>SUM(P3:P35)</f>
        <v>5217586.5</v>
      </c>
      <c r="P36" s="147"/>
    </row>
    <row r="37" spans="1:16" ht="18" customHeight="1" x14ac:dyDescent="0.2">
      <c r="A37" s="85"/>
      <c r="B37" s="56" t="s">
        <v>42</v>
      </c>
      <c r="C37" s="55"/>
      <c r="D37" s="57" t="s">
        <v>43</v>
      </c>
      <c r="E37" s="85"/>
      <c r="F37" s="85"/>
      <c r="G37" s="85"/>
      <c r="H37" s="85"/>
      <c r="I37" s="85"/>
      <c r="J37" s="85"/>
      <c r="K37" s="85"/>
      <c r="L37" s="85"/>
      <c r="M37" s="86"/>
      <c r="N37" s="87" t="s">
        <v>52</v>
      </c>
      <c r="O37" s="88"/>
      <c r="P37" s="88">
        <v>0</v>
      </c>
    </row>
    <row r="38" spans="1:16" ht="18" customHeight="1" thickBot="1" x14ac:dyDescent="0.25">
      <c r="A38" s="85"/>
      <c r="B38" s="56"/>
      <c r="C38" s="55"/>
      <c r="D38" s="57"/>
      <c r="E38" s="85"/>
      <c r="F38" s="85"/>
      <c r="G38" s="85"/>
      <c r="H38" s="85"/>
      <c r="I38" s="85"/>
      <c r="J38" s="85"/>
      <c r="K38" s="85"/>
      <c r="L38" s="85"/>
      <c r="M38" s="86"/>
      <c r="N38" s="89" t="s">
        <v>53</v>
      </c>
      <c r="O38" s="90"/>
      <c r="P38" s="90">
        <f>O36-P37</f>
        <v>5217586.5</v>
      </c>
    </row>
    <row r="39" spans="1:16" ht="18" customHeight="1" x14ac:dyDescent="0.2">
      <c r="A39" s="11"/>
      <c r="H39" s="63"/>
      <c r="N39" s="62" t="s">
        <v>31</v>
      </c>
      <c r="P39" s="69">
        <f>P38*1%</f>
        <v>52175.864999999998</v>
      </c>
    </row>
    <row r="40" spans="1:16" ht="18" customHeight="1" thickBot="1" x14ac:dyDescent="0.25">
      <c r="A40" s="11"/>
      <c r="H40" s="63"/>
      <c r="N40" s="62" t="s">
        <v>54</v>
      </c>
      <c r="P40" s="71">
        <f>P38*2%</f>
        <v>104351.73</v>
      </c>
    </row>
    <row r="41" spans="1:16" ht="18" customHeight="1" x14ac:dyDescent="0.2">
      <c r="A41" s="11"/>
      <c r="H41" s="63"/>
      <c r="N41" s="66" t="s">
        <v>32</v>
      </c>
      <c r="O41" s="67"/>
      <c r="P41" s="70">
        <f>P38+P39-P40</f>
        <v>5165410.6349999998</v>
      </c>
    </row>
    <row r="43" spans="1:16" x14ac:dyDescent="0.2">
      <c r="A43" s="11"/>
      <c r="H43" s="63"/>
      <c r="P43" s="71"/>
    </row>
    <row r="44" spans="1:16" x14ac:dyDescent="0.2">
      <c r="A44" s="11"/>
      <c r="H44" s="63"/>
      <c r="O44" s="58"/>
      <c r="P44" s="71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</sheetData>
  <mergeCells count="2">
    <mergeCell ref="A36:L36"/>
    <mergeCell ref="O36:P36"/>
  </mergeCells>
  <conditionalFormatting sqref="B3">
    <cfRule type="duplicateValues" dxfId="302" priority="2"/>
  </conditionalFormatting>
  <conditionalFormatting sqref="B4:B35">
    <cfRule type="duplicateValues" dxfId="301" priority="6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16" sqref="N1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403922</v>
      </c>
      <c r="B3" s="73" t="s">
        <v>746</v>
      </c>
      <c r="C3" s="9" t="s">
        <v>747</v>
      </c>
      <c r="D3" s="75" t="s">
        <v>748</v>
      </c>
      <c r="E3" s="13" t="s">
        <v>749</v>
      </c>
      <c r="F3" s="75" t="s">
        <v>119</v>
      </c>
      <c r="G3" s="13" t="s">
        <v>750</v>
      </c>
      <c r="H3" s="10" t="s">
        <v>751</v>
      </c>
      <c r="I3" s="1">
        <v>57</v>
      </c>
      <c r="J3" s="1">
        <v>53</v>
      </c>
      <c r="K3" s="1">
        <v>41</v>
      </c>
      <c r="L3" s="1">
        <v>28</v>
      </c>
      <c r="M3" s="79">
        <v>30.965250000000001</v>
      </c>
      <c r="N3" s="103">
        <v>30.965250000000001</v>
      </c>
      <c r="O3" s="64">
        <v>7000</v>
      </c>
      <c r="P3" s="65">
        <f>Table224578910112345678910111213141516171819202122232425262728293031323334353637383940[[#This Row],[PEMBULATAN]]*O3</f>
        <v>216756.75</v>
      </c>
    </row>
    <row r="4" spans="1:16" ht="22.5" customHeight="1" x14ac:dyDescent="0.2">
      <c r="A4" s="143" t="s">
        <v>30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8">
        <f>SUBTOTAL(109,Table224578910112345678910111213141516171819202122232425262728293031323334353637383940[KG VOLUME])</f>
        <v>30.965250000000001</v>
      </c>
      <c r="N4" s="68">
        <f>SUM(N3:N3)</f>
        <v>30.965250000000001</v>
      </c>
      <c r="O4" s="146">
        <f>SUM(P3:P3)</f>
        <v>216756.75</v>
      </c>
      <c r="P4" s="147"/>
    </row>
    <row r="5" spans="1:16" ht="18" customHeight="1" x14ac:dyDescent="0.2">
      <c r="A5" s="85"/>
      <c r="B5" s="56" t="s">
        <v>42</v>
      </c>
      <c r="C5" s="55"/>
      <c r="D5" s="57" t="s">
        <v>43</v>
      </c>
      <c r="E5" s="85"/>
      <c r="F5" s="85"/>
      <c r="G5" s="85"/>
      <c r="H5" s="85"/>
      <c r="I5" s="85"/>
      <c r="J5" s="85"/>
      <c r="K5" s="85"/>
      <c r="L5" s="85"/>
      <c r="M5" s="86"/>
      <c r="N5" s="87" t="s">
        <v>52</v>
      </c>
      <c r="O5" s="88"/>
      <c r="P5" s="88">
        <v>0</v>
      </c>
    </row>
    <row r="6" spans="1:16" ht="18" customHeight="1" thickBot="1" x14ac:dyDescent="0.25">
      <c r="A6" s="85"/>
      <c r="B6" s="56"/>
      <c r="C6" s="55"/>
      <c r="D6" s="57"/>
      <c r="E6" s="85"/>
      <c r="F6" s="85"/>
      <c r="G6" s="85"/>
      <c r="H6" s="85"/>
      <c r="I6" s="85"/>
      <c r="J6" s="85"/>
      <c r="K6" s="85"/>
      <c r="L6" s="85"/>
      <c r="M6" s="86"/>
      <c r="N6" s="89" t="s">
        <v>53</v>
      </c>
      <c r="O6" s="90"/>
      <c r="P6" s="90">
        <f>O4-P5</f>
        <v>216756.75</v>
      </c>
    </row>
    <row r="7" spans="1:16" ht="18" customHeight="1" x14ac:dyDescent="0.2">
      <c r="A7" s="11"/>
      <c r="H7" s="63"/>
      <c r="N7" s="62" t="s">
        <v>31</v>
      </c>
      <c r="P7" s="69">
        <f>P6*1%</f>
        <v>2167.5675000000001</v>
      </c>
    </row>
    <row r="8" spans="1:16" ht="18" customHeight="1" thickBot="1" x14ac:dyDescent="0.25">
      <c r="A8" s="11"/>
      <c r="H8" s="63"/>
      <c r="N8" s="62" t="s">
        <v>54</v>
      </c>
      <c r="P8" s="71">
        <f>P6*2%</f>
        <v>4335.1350000000002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214589.1825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28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405780</v>
      </c>
      <c r="B3" s="73" t="s">
        <v>117</v>
      </c>
      <c r="C3" s="9" t="s">
        <v>118</v>
      </c>
      <c r="D3" s="75" t="s">
        <v>83</v>
      </c>
      <c r="E3" s="13">
        <v>44471</v>
      </c>
      <c r="F3" s="75" t="s">
        <v>119</v>
      </c>
      <c r="G3" s="13">
        <v>44474.625</v>
      </c>
      <c r="H3" s="10" t="s">
        <v>120</v>
      </c>
      <c r="I3" s="1">
        <v>57</v>
      </c>
      <c r="J3" s="1">
        <v>40</v>
      </c>
      <c r="K3" s="1">
        <v>15</v>
      </c>
      <c r="L3" s="1">
        <v>13</v>
      </c>
      <c r="M3" s="79">
        <v>8.5500000000000007</v>
      </c>
      <c r="N3" s="103">
        <v>13</v>
      </c>
      <c r="O3" s="64">
        <v>7000</v>
      </c>
      <c r="P3" s="65">
        <f>Table22457891011234[[#This Row],[PEMBULATAN]]*O3</f>
        <v>91000</v>
      </c>
    </row>
    <row r="4" spans="1:16" ht="26.25" customHeight="1" x14ac:dyDescent="0.2">
      <c r="A4" s="14"/>
      <c r="B4" s="74"/>
      <c r="C4" s="9" t="s">
        <v>121</v>
      </c>
      <c r="D4" s="75" t="s">
        <v>83</v>
      </c>
      <c r="E4" s="13">
        <v>44471</v>
      </c>
      <c r="F4" s="75" t="s">
        <v>119</v>
      </c>
      <c r="G4" s="13">
        <v>44474.625</v>
      </c>
      <c r="H4" s="10" t="s">
        <v>120</v>
      </c>
      <c r="I4" s="1">
        <v>65</v>
      </c>
      <c r="J4" s="1">
        <v>38</v>
      </c>
      <c r="K4" s="1">
        <v>35</v>
      </c>
      <c r="L4" s="1">
        <v>21</v>
      </c>
      <c r="M4" s="79">
        <v>21.612500000000001</v>
      </c>
      <c r="N4" s="103">
        <v>21.612500000000001</v>
      </c>
      <c r="O4" s="64">
        <v>7000</v>
      </c>
      <c r="P4" s="65">
        <f>Table22457891011234[[#This Row],[PEMBULATAN]]*O4</f>
        <v>151287.5</v>
      </c>
    </row>
    <row r="5" spans="1:16" ht="26.25" customHeight="1" x14ac:dyDescent="0.2">
      <c r="A5" s="14"/>
      <c r="B5" s="74"/>
      <c r="C5" s="95" t="s">
        <v>122</v>
      </c>
      <c r="D5" s="96" t="s">
        <v>83</v>
      </c>
      <c r="E5" s="97">
        <v>44471</v>
      </c>
      <c r="F5" s="98" t="s">
        <v>119</v>
      </c>
      <c r="G5" s="97">
        <v>44474.625</v>
      </c>
      <c r="H5" s="99" t="s">
        <v>120</v>
      </c>
      <c r="I5" s="100">
        <v>40</v>
      </c>
      <c r="J5" s="100">
        <v>27</v>
      </c>
      <c r="K5" s="100">
        <v>24</v>
      </c>
      <c r="L5" s="100">
        <v>8</v>
      </c>
      <c r="M5" s="101">
        <v>6.48</v>
      </c>
      <c r="N5" s="107">
        <v>8</v>
      </c>
      <c r="O5" s="64">
        <v>7000</v>
      </c>
      <c r="P5" s="65">
        <f>Table22457891011234[[#This Row],[PEMBULATAN]]*O5</f>
        <v>56000</v>
      </c>
    </row>
    <row r="6" spans="1:16" ht="26.25" customHeight="1" x14ac:dyDescent="0.2">
      <c r="A6" s="14"/>
      <c r="B6" s="74"/>
      <c r="C6" s="95" t="s">
        <v>123</v>
      </c>
      <c r="D6" s="96" t="s">
        <v>83</v>
      </c>
      <c r="E6" s="97">
        <v>44471</v>
      </c>
      <c r="F6" s="98" t="s">
        <v>119</v>
      </c>
      <c r="G6" s="97">
        <v>44474.625</v>
      </c>
      <c r="H6" s="99" t="s">
        <v>120</v>
      </c>
      <c r="I6" s="100">
        <v>103</v>
      </c>
      <c r="J6" s="100">
        <v>33</v>
      </c>
      <c r="K6" s="100">
        <v>33</v>
      </c>
      <c r="L6" s="100">
        <v>5</v>
      </c>
      <c r="M6" s="101">
        <v>28.04175</v>
      </c>
      <c r="N6" s="107">
        <v>28.04175</v>
      </c>
      <c r="O6" s="64">
        <v>7000</v>
      </c>
      <c r="P6" s="65">
        <f>Table22457891011234[[#This Row],[PEMBULATAN]]*O6</f>
        <v>196292.25</v>
      </c>
    </row>
    <row r="7" spans="1:16" ht="26.25" customHeight="1" x14ac:dyDescent="0.2">
      <c r="A7" s="14"/>
      <c r="B7" s="74"/>
      <c r="C7" s="95" t="s">
        <v>124</v>
      </c>
      <c r="D7" s="96" t="s">
        <v>83</v>
      </c>
      <c r="E7" s="97">
        <v>44471</v>
      </c>
      <c r="F7" s="98" t="s">
        <v>119</v>
      </c>
      <c r="G7" s="97">
        <v>44474.625</v>
      </c>
      <c r="H7" s="99" t="s">
        <v>120</v>
      </c>
      <c r="I7" s="100">
        <v>102</v>
      </c>
      <c r="J7" s="100">
        <v>20</v>
      </c>
      <c r="K7" s="100">
        <v>20</v>
      </c>
      <c r="L7" s="100">
        <v>12</v>
      </c>
      <c r="M7" s="101">
        <v>10.199999999999999</v>
      </c>
      <c r="N7" s="107">
        <v>12</v>
      </c>
      <c r="O7" s="64">
        <v>7000</v>
      </c>
      <c r="P7" s="65">
        <f>Table22457891011234[[#This Row],[PEMBULATAN]]*O7</f>
        <v>84000</v>
      </c>
    </row>
    <row r="8" spans="1:16" ht="22.5" customHeight="1" x14ac:dyDescent="0.2">
      <c r="A8" s="143" t="s">
        <v>30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5"/>
      <c r="M8" s="78">
        <f>SUBTOTAL(109,Table22457891011234[KG VOLUME])</f>
        <v>74.884249999999994</v>
      </c>
      <c r="N8" s="68">
        <f>SUM(N3:N7)</f>
        <v>82.65424999999999</v>
      </c>
      <c r="O8" s="146">
        <f>SUM(P3:P7)</f>
        <v>578579.75</v>
      </c>
      <c r="P8" s="147"/>
    </row>
    <row r="9" spans="1:16" ht="18" customHeight="1" x14ac:dyDescent="0.2">
      <c r="A9" s="85"/>
      <c r="B9" s="56" t="s">
        <v>42</v>
      </c>
      <c r="C9" s="55"/>
      <c r="D9" s="57" t="s">
        <v>43</v>
      </c>
      <c r="E9" s="85"/>
      <c r="F9" s="85"/>
      <c r="G9" s="85"/>
      <c r="H9" s="85"/>
      <c r="I9" s="85"/>
      <c r="J9" s="85"/>
      <c r="K9" s="85"/>
      <c r="L9" s="85"/>
      <c r="M9" s="86"/>
      <c r="N9" s="87" t="s">
        <v>52</v>
      </c>
      <c r="O9" s="88"/>
      <c r="P9" s="88">
        <v>0</v>
      </c>
    </row>
    <row r="10" spans="1:16" ht="18" customHeight="1" thickBot="1" x14ac:dyDescent="0.25">
      <c r="A10" s="85"/>
      <c r="B10" s="56"/>
      <c r="C10" s="55"/>
      <c r="D10" s="57"/>
      <c r="E10" s="85"/>
      <c r="F10" s="85"/>
      <c r="G10" s="85"/>
      <c r="H10" s="85"/>
      <c r="I10" s="85"/>
      <c r="J10" s="85"/>
      <c r="K10" s="85"/>
      <c r="L10" s="85"/>
      <c r="M10" s="86"/>
      <c r="N10" s="89" t="s">
        <v>53</v>
      </c>
      <c r="O10" s="90"/>
      <c r="P10" s="90">
        <f>O8-P9</f>
        <v>578579.75</v>
      </c>
    </row>
    <row r="11" spans="1:16" ht="18" customHeight="1" x14ac:dyDescent="0.2">
      <c r="A11" s="11"/>
      <c r="H11" s="63"/>
      <c r="N11" s="62" t="s">
        <v>31</v>
      </c>
      <c r="P11" s="69">
        <f>P10*1%</f>
        <v>5785.7974999999997</v>
      </c>
    </row>
    <row r="12" spans="1:16" ht="18" customHeight="1" thickBot="1" x14ac:dyDescent="0.25">
      <c r="A12" s="11"/>
      <c r="H12" s="63"/>
      <c r="N12" s="62" t="s">
        <v>54</v>
      </c>
      <c r="P12" s="71">
        <f>P10*2%</f>
        <v>11571.594999999999</v>
      </c>
    </row>
    <row r="13" spans="1:16" ht="18" customHeight="1" x14ac:dyDescent="0.2">
      <c r="A13" s="11"/>
      <c r="H13" s="63"/>
      <c r="N13" s="66" t="s">
        <v>32</v>
      </c>
      <c r="O13" s="67"/>
      <c r="P13" s="70">
        <f>P10+P11-P12</f>
        <v>572793.95250000001</v>
      </c>
    </row>
    <row r="15" spans="1:16" x14ac:dyDescent="0.2">
      <c r="A15" s="11"/>
      <c r="H15" s="63"/>
      <c r="P15" s="71"/>
    </row>
    <row r="16" spans="1:16" x14ac:dyDescent="0.2">
      <c r="A16" s="11"/>
      <c r="H16" s="63"/>
      <c r="O16" s="58"/>
      <c r="P16" s="71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892" priority="2"/>
  </conditionalFormatting>
  <conditionalFormatting sqref="B4:B7">
    <cfRule type="duplicateValues" dxfId="891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4"/>
  <sheetViews>
    <sheetView zoomScale="110" zoomScaleNormal="110" workbookViewId="0">
      <pane xSplit="3" ySplit="2" topLeftCell="D20" activePane="bottomRight" state="frozen"/>
      <selection pane="topRight" activeCell="B1" sqref="B1"/>
      <selection pane="bottomLeft" activeCell="A3" sqref="A3"/>
      <selection pane="bottomRight" activeCell="H28" sqref="H2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.75" customHeight="1" x14ac:dyDescent="0.2">
      <c r="A3" s="112">
        <v>401498</v>
      </c>
      <c r="B3" s="113" t="s">
        <v>752</v>
      </c>
      <c r="C3" s="114" t="s">
        <v>753</v>
      </c>
      <c r="D3" s="115" t="s">
        <v>748</v>
      </c>
      <c r="E3" s="116" t="s">
        <v>749</v>
      </c>
      <c r="F3" s="115" t="s">
        <v>119</v>
      </c>
      <c r="G3" s="116" t="s">
        <v>750</v>
      </c>
      <c r="H3" s="117" t="s">
        <v>751</v>
      </c>
      <c r="I3" s="116">
        <v>85</v>
      </c>
      <c r="J3" s="116">
        <v>70</v>
      </c>
      <c r="K3" s="116">
        <v>33</v>
      </c>
      <c r="L3" s="116">
        <v>35</v>
      </c>
      <c r="M3" s="116">
        <v>49.087499999999999</v>
      </c>
      <c r="N3" s="103">
        <v>49.087499999999999</v>
      </c>
      <c r="O3" s="64">
        <v>7000</v>
      </c>
      <c r="P3" s="65">
        <f>Table22457891011234567891011121314151617181920212223242526272829303132333435363738394041[[#This Row],[PEMBULATAN]]*O3</f>
        <v>343612.5</v>
      </c>
    </row>
    <row r="4" spans="1:16" ht="24.75" customHeight="1" x14ac:dyDescent="0.2">
      <c r="A4" s="118"/>
      <c r="B4" s="119"/>
      <c r="C4" s="114" t="s">
        <v>754</v>
      </c>
      <c r="D4" s="115" t="s">
        <v>748</v>
      </c>
      <c r="E4" s="116" t="s">
        <v>749</v>
      </c>
      <c r="F4" s="115" t="s">
        <v>119</v>
      </c>
      <c r="G4" s="116" t="s">
        <v>750</v>
      </c>
      <c r="H4" s="117" t="s">
        <v>751</v>
      </c>
      <c r="I4" s="116">
        <v>55</v>
      </c>
      <c r="J4" s="116">
        <v>55</v>
      </c>
      <c r="K4" s="116">
        <v>10</v>
      </c>
      <c r="L4" s="116">
        <v>36</v>
      </c>
      <c r="M4" s="116">
        <v>7.5625</v>
      </c>
      <c r="N4" s="103">
        <v>36</v>
      </c>
      <c r="O4" s="64">
        <v>7000</v>
      </c>
      <c r="P4" s="65">
        <f>Table22457891011234567891011121314151617181920212223242526272829303132333435363738394041[[#This Row],[PEMBULATAN]]*O4</f>
        <v>252000</v>
      </c>
    </row>
    <row r="5" spans="1:16" ht="24.75" customHeight="1" x14ac:dyDescent="0.2">
      <c r="A5" s="118"/>
      <c r="B5" s="119"/>
      <c r="C5" s="120" t="s">
        <v>755</v>
      </c>
      <c r="D5" s="121" t="s">
        <v>748</v>
      </c>
      <c r="E5" s="122" t="s">
        <v>749</v>
      </c>
      <c r="F5" s="123" t="s">
        <v>119</v>
      </c>
      <c r="G5" s="122" t="s">
        <v>750</v>
      </c>
      <c r="H5" s="124" t="s">
        <v>751</v>
      </c>
      <c r="I5" s="125">
        <v>64</v>
      </c>
      <c r="J5" s="125">
        <v>36</v>
      </c>
      <c r="K5" s="125">
        <v>19</v>
      </c>
      <c r="L5" s="125">
        <v>10</v>
      </c>
      <c r="M5" s="125">
        <v>10.944000000000001</v>
      </c>
      <c r="N5" s="107">
        <v>10.944000000000001</v>
      </c>
      <c r="O5" s="64">
        <v>7000</v>
      </c>
      <c r="P5" s="65">
        <f>Table22457891011234567891011121314151617181920212223242526272829303132333435363738394041[[#This Row],[PEMBULATAN]]*O5</f>
        <v>76608</v>
      </c>
    </row>
    <row r="6" spans="1:16" ht="24.75" customHeight="1" x14ac:dyDescent="0.2">
      <c r="A6" s="118"/>
      <c r="B6" s="119"/>
      <c r="C6" s="120" t="s">
        <v>756</v>
      </c>
      <c r="D6" s="121" t="s">
        <v>748</v>
      </c>
      <c r="E6" s="122" t="s">
        <v>749</v>
      </c>
      <c r="F6" s="123" t="s">
        <v>119</v>
      </c>
      <c r="G6" s="122" t="s">
        <v>750</v>
      </c>
      <c r="H6" s="124" t="s">
        <v>751</v>
      </c>
      <c r="I6" s="125">
        <v>90</v>
      </c>
      <c r="J6" s="125">
        <v>67</v>
      </c>
      <c r="K6" s="125">
        <v>44</v>
      </c>
      <c r="L6" s="125">
        <v>42</v>
      </c>
      <c r="M6" s="125">
        <v>66.33</v>
      </c>
      <c r="N6" s="107">
        <v>67</v>
      </c>
      <c r="O6" s="64">
        <v>7000</v>
      </c>
      <c r="P6" s="65">
        <f>Table22457891011234567891011121314151617181920212223242526272829303132333435363738394041[[#This Row],[PEMBULATAN]]*O6</f>
        <v>469000</v>
      </c>
    </row>
    <row r="7" spans="1:16" ht="24.75" customHeight="1" x14ac:dyDescent="0.2">
      <c r="A7" s="118"/>
      <c r="B7" s="119"/>
      <c r="C7" s="120" t="s">
        <v>757</v>
      </c>
      <c r="D7" s="121" t="s">
        <v>748</v>
      </c>
      <c r="E7" s="122" t="s">
        <v>749</v>
      </c>
      <c r="F7" s="123" t="s">
        <v>119</v>
      </c>
      <c r="G7" s="122" t="s">
        <v>750</v>
      </c>
      <c r="H7" s="124" t="s">
        <v>751</v>
      </c>
      <c r="I7" s="125">
        <v>45</v>
      </c>
      <c r="J7" s="125">
        <v>43</v>
      </c>
      <c r="K7" s="125">
        <v>26</v>
      </c>
      <c r="L7" s="125">
        <v>9</v>
      </c>
      <c r="M7" s="125">
        <v>12.577500000000001</v>
      </c>
      <c r="N7" s="107">
        <v>12.577500000000001</v>
      </c>
      <c r="O7" s="64">
        <v>7000</v>
      </c>
      <c r="P7" s="65">
        <f>Table22457891011234567891011121314151617181920212223242526272829303132333435363738394041[[#This Row],[PEMBULATAN]]*O7</f>
        <v>88042.5</v>
      </c>
    </row>
    <row r="8" spans="1:16" ht="24.75" customHeight="1" x14ac:dyDescent="0.2">
      <c r="A8" s="118"/>
      <c r="B8" s="119"/>
      <c r="C8" s="120" t="s">
        <v>758</v>
      </c>
      <c r="D8" s="121" t="s">
        <v>748</v>
      </c>
      <c r="E8" s="122" t="s">
        <v>749</v>
      </c>
      <c r="F8" s="123" t="s">
        <v>119</v>
      </c>
      <c r="G8" s="122" t="s">
        <v>750</v>
      </c>
      <c r="H8" s="124" t="s">
        <v>751</v>
      </c>
      <c r="I8" s="125">
        <v>70</v>
      </c>
      <c r="J8" s="125">
        <v>42</v>
      </c>
      <c r="K8" s="125">
        <v>24</v>
      </c>
      <c r="L8" s="125">
        <v>15</v>
      </c>
      <c r="M8" s="125">
        <v>17.64</v>
      </c>
      <c r="N8" s="107">
        <v>17.64</v>
      </c>
      <c r="O8" s="64">
        <v>7000</v>
      </c>
      <c r="P8" s="65">
        <f>Table22457891011234567891011121314151617181920212223242526272829303132333435363738394041[[#This Row],[PEMBULATAN]]*O8</f>
        <v>123480</v>
      </c>
    </row>
    <row r="9" spans="1:16" ht="24.75" customHeight="1" x14ac:dyDescent="0.2">
      <c r="A9" s="118"/>
      <c r="B9" s="119"/>
      <c r="C9" s="120" t="s">
        <v>759</v>
      </c>
      <c r="D9" s="121" t="s">
        <v>748</v>
      </c>
      <c r="E9" s="122" t="s">
        <v>749</v>
      </c>
      <c r="F9" s="123" t="s">
        <v>119</v>
      </c>
      <c r="G9" s="122" t="s">
        <v>750</v>
      </c>
      <c r="H9" s="124" t="s">
        <v>751</v>
      </c>
      <c r="I9" s="125">
        <v>77</v>
      </c>
      <c r="J9" s="125">
        <v>30</v>
      </c>
      <c r="K9" s="125">
        <v>38</v>
      </c>
      <c r="L9" s="125">
        <v>30</v>
      </c>
      <c r="M9" s="125">
        <v>21.945</v>
      </c>
      <c r="N9" s="107">
        <v>30</v>
      </c>
      <c r="O9" s="64">
        <v>7000</v>
      </c>
      <c r="P9" s="65">
        <f>Table22457891011234567891011121314151617181920212223242526272829303132333435363738394041[[#This Row],[PEMBULATAN]]*O9</f>
        <v>210000</v>
      </c>
    </row>
    <row r="10" spans="1:16" ht="24.75" customHeight="1" x14ac:dyDescent="0.2">
      <c r="A10" s="118"/>
      <c r="B10" s="119"/>
      <c r="C10" s="120" t="s">
        <v>760</v>
      </c>
      <c r="D10" s="121" t="s">
        <v>748</v>
      </c>
      <c r="E10" s="122" t="s">
        <v>749</v>
      </c>
      <c r="F10" s="123" t="s">
        <v>119</v>
      </c>
      <c r="G10" s="122" t="s">
        <v>750</v>
      </c>
      <c r="H10" s="124" t="s">
        <v>751</v>
      </c>
      <c r="I10" s="125">
        <v>40</v>
      </c>
      <c r="J10" s="125">
        <v>35</v>
      </c>
      <c r="K10" s="125">
        <v>23</v>
      </c>
      <c r="L10" s="125">
        <v>7</v>
      </c>
      <c r="M10" s="125">
        <v>8.0500000000000007</v>
      </c>
      <c r="N10" s="107">
        <v>8.0500000000000007</v>
      </c>
      <c r="O10" s="64">
        <v>7000</v>
      </c>
      <c r="P10" s="65">
        <f>Table22457891011234567891011121314151617181920212223242526272829303132333435363738394041[[#This Row],[PEMBULATAN]]*O10</f>
        <v>56350.000000000007</v>
      </c>
    </row>
    <row r="11" spans="1:16" ht="24.75" customHeight="1" x14ac:dyDescent="0.2">
      <c r="A11" s="118"/>
      <c r="B11" s="119"/>
      <c r="C11" s="120" t="s">
        <v>761</v>
      </c>
      <c r="D11" s="121" t="s">
        <v>748</v>
      </c>
      <c r="E11" s="122" t="s">
        <v>749</v>
      </c>
      <c r="F11" s="123" t="s">
        <v>119</v>
      </c>
      <c r="G11" s="122" t="s">
        <v>750</v>
      </c>
      <c r="H11" s="124" t="s">
        <v>751</v>
      </c>
      <c r="I11" s="125">
        <v>60</v>
      </c>
      <c r="J11" s="125">
        <v>38</v>
      </c>
      <c r="K11" s="125">
        <v>38</v>
      </c>
      <c r="L11" s="125">
        <v>21</v>
      </c>
      <c r="M11" s="125">
        <v>21.66</v>
      </c>
      <c r="N11" s="107">
        <v>21.66</v>
      </c>
      <c r="O11" s="64">
        <v>7000</v>
      </c>
      <c r="P11" s="65">
        <f>Table22457891011234567891011121314151617181920212223242526272829303132333435363738394041[[#This Row],[PEMBULATAN]]*O11</f>
        <v>151620</v>
      </c>
    </row>
    <row r="12" spans="1:16" ht="24.75" customHeight="1" x14ac:dyDescent="0.2">
      <c r="A12" s="118"/>
      <c r="B12" s="119"/>
      <c r="C12" s="120" t="s">
        <v>762</v>
      </c>
      <c r="D12" s="121" t="s">
        <v>748</v>
      </c>
      <c r="E12" s="122" t="s">
        <v>749</v>
      </c>
      <c r="F12" s="123" t="s">
        <v>119</v>
      </c>
      <c r="G12" s="122" t="s">
        <v>750</v>
      </c>
      <c r="H12" s="124" t="s">
        <v>751</v>
      </c>
      <c r="I12" s="125">
        <v>70</v>
      </c>
      <c r="J12" s="125">
        <v>45</v>
      </c>
      <c r="K12" s="125">
        <v>40</v>
      </c>
      <c r="L12" s="125">
        <v>18</v>
      </c>
      <c r="M12" s="125">
        <v>31.5</v>
      </c>
      <c r="N12" s="107">
        <v>31.5</v>
      </c>
      <c r="O12" s="64">
        <v>7000</v>
      </c>
      <c r="P12" s="65">
        <f>Table22457891011234567891011121314151617181920212223242526272829303132333435363738394041[[#This Row],[PEMBULATAN]]*O12</f>
        <v>220500</v>
      </c>
    </row>
    <row r="13" spans="1:16" ht="24.75" customHeight="1" x14ac:dyDescent="0.2">
      <c r="A13" s="118"/>
      <c r="B13" s="119"/>
      <c r="C13" s="120" t="s">
        <v>763</v>
      </c>
      <c r="D13" s="121" t="s">
        <v>748</v>
      </c>
      <c r="E13" s="122" t="s">
        <v>749</v>
      </c>
      <c r="F13" s="123" t="s">
        <v>119</v>
      </c>
      <c r="G13" s="122" t="s">
        <v>750</v>
      </c>
      <c r="H13" s="124" t="s">
        <v>751</v>
      </c>
      <c r="I13" s="125">
        <v>64</v>
      </c>
      <c r="J13" s="125">
        <v>30</v>
      </c>
      <c r="K13" s="125">
        <v>40</v>
      </c>
      <c r="L13" s="125">
        <v>5</v>
      </c>
      <c r="M13" s="125">
        <v>19.2</v>
      </c>
      <c r="N13" s="107">
        <v>19.2</v>
      </c>
      <c r="O13" s="64">
        <v>7000</v>
      </c>
      <c r="P13" s="65">
        <f>Table22457891011234567891011121314151617181920212223242526272829303132333435363738394041[[#This Row],[PEMBULATAN]]*O13</f>
        <v>134400</v>
      </c>
    </row>
    <row r="14" spans="1:16" ht="24.75" customHeight="1" x14ac:dyDescent="0.2">
      <c r="A14" s="118"/>
      <c r="B14" s="119"/>
      <c r="C14" s="120" t="s">
        <v>764</v>
      </c>
      <c r="D14" s="121" t="s">
        <v>748</v>
      </c>
      <c r="E14" s="122" t="s">
        <v>749</v>
      </c>
      <c r="F14" s="123" t="s">
        <v>119</v>
      </c>
      <c r="G14" s="122" t="s">
        <v>750</v>
      </c>
      <c r="H14" s="124" t="s">
        <v>751</v>
      </c>
      <c r="I14" s="125">
        <v>46</v>
      </c>
      <c r="J14" s="125">
        <v>42</v>
      </c>
      <c r="K14" s="125">
        <v>29</v>
      </c>
      <c r="L14" s="125">
        <v>20</v>
      </c>
      <c r="M14" s="125">
        <v>14.007</v>
      </c>
      <c r="N14" s="107">
        <v>20</v>
      </c>
      <c r="O14" s="64">
        <v>7000</v>
      </c>
      <c r="P14" s="65">
        <f>Table22457891011234567891011121314151617181920212223242526272829303132333435363738394041[[#This Row],[PEMBULATAN]]*O14</f>
        <v>140000</v>
      </c>
    </row>
    <row r="15" spans="1:16" ht="24.75" customHeight="1" x14ac:dyDescent="0.2">
      <c r="A15" s="118"/>
      <c r="B15" s="119"/>
      <c r="C15" s="120" t="s">
        <v>765</v>
      </c>
      <c r="D15" s="121" t="s">
        <v>748</v>
      </c>
      <c r="E15" s="122" t="s">
        <v>749</v>
      </c>
      <c r="F15" s="123" t="s">
        <v>119</v>
      </c>
      <c r="G15" s="122" t="s">
        <v>750</v>
      </c>
      <c r="H15" s="124" t="s">
        <v>751</v>
      </c>
      <c r="I15" s="125">
        <v>27</v>
      </c>
      <c r="J15" s="125">
        <v>25</v>
      </c>
      <c r="K15" s="125">
        <v>16</v>
      </c>
      <c r="L15" s="125">
        <v>11</v>
      </c>
      <c r="M15" s="125">
        <v>2.7</v>
      </c>
      <c r="N15" s="107">
        <v>11</v>
      </c>
      <c r="O15" s="64">
        <v>7000</v>
      </c>
      <c r="P15" s="65">
        <f>Table22457891011234567891011121314151617181920212223242526272829303132333435363738394041[[#This Row],[PEMBULATAN]]*O15</f>
        <v>77000</v>
      </c>
    </row>
    <row r="16" spans="1:16" ht="24.75" customHeight="1" x14ac:dyDescent="0.2">
      <c r="A16" s="118"/>
      <c r="B16" s="126"/>
      <c r="C16" s="120" t="s">
        <v>766</v>
      </c>
      <c r="D16" s="121" t="s">
        <v>748</v>
      </c>
      <c r="E16" s="122" t="s">
        <v>749</v>
      </c>
      <c r="F16" s="123" t="s">
        <v>119</v>
      </c>
      <c r="G16" s="122" t="s">
        <v>750</v>
      </c>
      <c r="H16" s="124" t="s">
        <v>751</v>
      </c>
      <c r="I16" s="125">
        <v>30</v>
      </c>
      <c r="J16" s="125">
        <v>30</v>
      </c>
      <c r="K16" s="125">
        <v>24</v>
      </c>
      <c r="L16" s="125">
        <v>6</v>
      </c>
      <c r="M16" s="125">
        <v>5.4</v>
      </c>
      <c r="N16" s="107">
        <v>6</v>
      </c>
      <c r="O16" s="64">
        <v>7000</v>
      </c>
      <c r="P16" s="65">
        <f>Table22457891011234567891011121314151617181920212223242526272829303132333435363738394041[[#This Row],[PEMBULATAN]]*O16</f>
        <v>42000</v>
      </c>
    </row>
    <row r="17" spans="1:16" ht="24.75" customHeight="1" x14ac:dyDescent="0.2">
      <c r="A17" s="118"/>
      <c r="B17" s="119" t="s">
        <v>767</v>
      </c>
      <c r="C17" s="120" t="s">
        <v>768</v>
      </c>
      <c r="D17" s="121" t="s">
        <v>748</v>
      </c>
      <c r="E17" s="122" t="s">
        <v>749</v>
      </c>
      <c r="F17" s="123" t="s">
        <v>119</v>
      </c>
      <c r="G17" s="122" t="s">
        <v>750</v>
      </c>
      <c r="H17" s="124" t="s">
        <v>751</v>
      </c>
      <c r="I17" s="125">
        <v>38</v>
      </c>
      <c r="J17" s="125">
        <v>30</v>
      </c>
      <c r="K17" s="125">
        <v>13</v>
      </c>
      <c r="L17" s="125">
        <v>10</v>
      </c>
      <c r="M17" s="125">
        <v>3.7050000000000001</v>
      </c>
      <c r="N17" s="107">
        <v>10</v>
      </c>
      <c r="O17" s="64">
        <v>7000</v>
      </c>
      <c r="P17" s="65">
        <f>Table22457891011234567891011121314151617181920212223242526272829303132333435363738394041[[#This Row],[PEMBULATAN]]*O17</f>
        <v>70000</v>
      </c>
    </row>
    <row r="18" spans="1:16" ht="24.75" customHeight="1" x14ac:dyDescent="0.2">
      <c r="A18" s="118"/>
      <c r="B18" s="119"/>
      <c r="C18" s="120" t="s">
        <v>769</v>
      </c>
      <c r="D18" s="121" t="s">
        <v>748</v>
      </c>
      <c r="E18" s="122" t="s">
        <v>749</v>
      </c>
      <c r="F18" s="123" t="s">
        <v>119</v>
      </c>
      <c r="G18" s="122" t="s">
        <v>750</v>
      </c>
      <c r="H18" s="124" t="s">
        <v>751</v>
      </c>
      <c r="I18" s="125">
        <v>38</v>
      </c>
      <c r="J18" s="125">
        <v>30</v>
      </c>
      <c r="K18" s="125">
        <v>13</v>
      </c>
      <c r="L18" s="125">
        <v>10</v>
      </c>
      <c r="M18" s="125">
        <v>3.7050000000000001</v>
      </c>
      <c r="N18" s="107">
        <v>10</v>
      </c>
      <c r="O18" s="64">
        <v>7000</v>
      </c>
      <c r="P18" s="65">
        <f>Table22457891011234567891011121314151617181920212223242526272829303132333435363738394041[[#This Row],[PEMBULATAN]]*O18</f>
        <v>70000</v>
      </c>
    </row>
    <row r="19" spans="1:16" ht="24.75" customHeight="1" x14ac:dyDescent="0.2">
      <c r="A19" s="118"/>
      <c r="B19" s="119"/>
      <c r="C19" s="120" t="s">
        <v>770</v>
      </c>
      <c r="D19" s="121" t="s">
        <v>748</v>
      </c>
      <c r="E19" s="122" t="s">
        <v>749</v>
      </c>
      <c r="F19" s="123" t="s">
        <v>119</v>
      </c>
      <c r="G19" s="122" t="s">
        <v>750</v>
      </c>
      <c r="H19" s="124" t="s">
        <v>751</v>
      </c>
      <c r="I19" s="125">
        <v>42</v>
      </c>
      <c r="J19" s="125">
        <v>30</v>
      </c>
      <c r="K19" s="125">
        <v>18</v>
      </c>
      <c r="L19" s="125">
        <v>4</v>
      </c>
      <c r="M19" s="125">
        <v>5.67</v>
      </c>
      <c r="N19" s="107">
        <v>5.67</v>
      </c>
      <c r="O19" s="64">
        <v>7000</v>
      </c>
      <c r="P19" s="65">
        <f>Table22457891011234567891011121314151617181920212223242526272829303132333435363738394041[[#This Row],[PEMBULATAN]]*O19</f>
        <v>39690</v>
      </c>
    </row>
    <row r="20" spans="1:16" ht="24.75" customHeight="1" x14ac:dyDescent="0.2">
      <c r="A20" s="118"/>
      <c r="B20" s="119"/>
      <c r="C20" s="120" t="s">
        <v>771</v>
      </c>
      <c r="D20" s="121" t="s">
        <v>748</v>
      </c>
      <c r="E20" s="122" t="s">
        <v>749</v>
      </c>
      <c r="F20" s="123" t="s">
        <v>119</v>
      </c>
      <c r="G20" s="122" t="s">
        <v>750</v>
      </c>
      <c r="H20" s="124" t="s">
        <v>751</v>
      </c>
      <c r="I20" s="125">
        <v>42</v>
      </c>
      <c r="J20" s="125">
        <v>30</v>
      </c>
      <c r="K20" s="125">
        <v>28</v>
      </c>
      <c r="L20" s="125">
        <v>11</v>
      </c>
      <c r="M20" s="125">
        <v>8.82</v>
      </c>
      <c r="N20" s="107">
        <v>11</v>
      </c>
      <c r="O20" s="64">
        <v>7000</v>
      </c>
      <c r="P20" s="65">
        <f>Table22457891011234567891011121314151617181920212223242526272829303132333435363738394041[[#This Row],[PEMBULATAN]]*O20</f>
        <v>77000</v>
      </c>
    </row>
    <row r="21" spans="1:16" ht="24.75" customHeight="1" x14ac:dyDescent="0.2">
      <c r="A21" s="118"/>
      <c r="B21" s="119"/>
      <c r="C21" s="120" t="s">
        <v>772</v>
      </c>
      <c r="D21" s="121" t="s">
        <v>748</v>
      </c>
      <c r="E21" s="122" t="s">
        <v>749</v>
      </c>
      <c r="F21" s="123" t="s">
        <v>119</v>
      </c>
      <c r="G21" s="122" t="s">
        <v>750</v>
      </c>
      <c r="H21" s="124" t="s">
        <v>751</v>
      </c>
      <c r="I21" s="125">
        <v>32</v>
      </c>
      <c r="J21" s="125">
        <v>28</v>
      </c>
      <c r="K21" s="125">
        <v>4</v>
      </c>
      <c r="L21" s="125">
        <v>1</v>
      </c>
      <c r="M21" s="125">
        <v>0.89600000000000002</v>
      </c>
      <c r="N21" s="107">
        <v>1</v>
      </c>
      <c r="O21" s="64">
        <v>7000</v>
      </c>
      <c r="P21" s="65">
        <f>Table22457891011234567891011121314151617181920212223242526272829303132333435363738394041[[#This Row],[PEMBULATAN]]*O21</f>
        <v>7000</v>
      </c>
    </row>
    <row r="22" spans="1:16" ht="24.75" customHeight="1" x14ac:dyDescent="0.2">
      <c r="A22" s="118"/>
      <c r="B22" s="119"/>
      <c r="C22" s="120" t="s">
        <v>773</v>
      </c>
      <c r="D22" s="121" t="s">
        <v>748</v>
      </c>
      <c r="E22" s="122" t="s">
        <v>749</v>
      </c>
      <c r="F22" s="123" t="s">
        <v>119</v>
      </c>
      <c r="G22" s="122" t="s">
        <v>750</v>
      </c>
      <c r="H22" s="124" t="s">
        <v>751</v>
      </c>
      <c r="I22" s="125">
        <v>42</v>
      </c>
      <c r="J22" s="125">
        <v>32</v>
      </c>
      <c r="K22" s="125">
        <v>16</v>
      </c>
      <c r="L22" s="125">
        <v>11</v>
      </c>
      <c r="M22" s="125">
        <v>5.3760000000000003</v>
      </c>
      <c r="N22" s="107">
        <v>11</v>
      </c>
      <c r="O22" s="64">
        <v>7000</v>
      </c>
      <c r="P22" s="65">
        <f>Table22457891011234567891011121314151617181920212223242526272829303132333435363738394041[[#This Row],[PEMBULATAN]]*O22</f>
        <v>77000</v>
      </c>
    </row>
    <row r="23" spans="1:16" ht="24.75" customHeight="1" x14ac:dyDescent="0.2">
      <c r="A23" s="118"/>
      <c r="B23" s="119"/>
      <c r="C23" s="120" t="s">
        <v>774</v>
      </c>
      <c r="D23" s="121" t="s">
        <v>748</v>
      </c>
      <c r="E23" s="122" t="s">
        <v>749</v>
      </c>
      <c r="F23" s="123" t="s">
        <v>119</v>
      </c>
      <c r="G23" s="122" t="s">
        <v>750</v>
      </c>
      <c r="H23" s="124" t="s">
        <v>751</v>
      </c>
      <c r="I23" s="125">
        <v>42</v>
      </c>
      <c r="J23" s="125">
        <v>30</v>
      </c>
      <c r="K23" s="125">
        <v>15</v>
      </c>
      <c r="L23" s="125">
        <v>10</v>
      </c>
      <c r="M23" s="125">
        <v>4.7249999999999996</v>
      </c>
      <c r="N23" s="107">
        <v>10</v>
      </c>
      <c r="O23" s="64">
        <v>7000</v>
      </c>
      <c r="P23" s="65">
        <f>Table22457891011234567891011121314151617181920212223242526272829303132333435363738394041[[#This Row],[PEMBULATAN]]*O23</f>
        <v>70000</v>
      </c>
    </row>
    <row r="24" spans="1:16" ht="22.5" customHeight="1" x14ac:dyDescent="0.2">
      <c r="A24" s="143" t="s">
        <v>30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5"/>
      <c r="M24" s="78">
        <f>SUBTOTAL(109,Table22457891011234567891011121314151617181920212223242526272829303132333435363738394041[KG VOLUME])</f>
        <v>321.50049999999993</v>
      </c>
      <c r="N24" s="68">
        <f>SUM(N3:N23)</f>
        <v>399.32899999999995</v>
      </c>
      <c r="O24" s="146">
        <f>SUM(P3:P23)</f>
        <v>2795303</v>
      </c>
      <c r="P24" s="147"/>
    </row>
    <row r="25" spans="1:16" ht="18" customHeight="1" x14ac:dyDescent="0.2">
      <c r="A25" s="85"/>
      <c r="B25" s="56" t="s">
        <v>42</v>
      </c>
      <c r="C25" s="55"/>
      <c r="D25" s="57" t="s">
        <v>43</v>
      </c>
      <c r="E25" s="85"/>
      <c r="F25" s="85"/>
      <c r="G25" s="85"/>
      <c r="H25" s="85"/>
      <c r="I25" s="85"/>
      <c r="J25" s="85"/>
      <c r="K25" s="85"/>
      <c r="L25" s="85"/>
      <c r="M25" s="86"/>
      <c r="N25" s="87" t="s">
        <v>52</v>
      </c>
      <c r="O25" s="88"/>
      <c r="P25" s="88">
        <v>0</v>
      </c>
    </row>
    <row r="26" spans="1:16" ht="18" customHeight="1" thickBot="1" x14ac:dyDescent="0.25">
      <c r="A26" s="85"/>
      <c r="B26" s="56"/>
      <c r="C26" s="55"/>
      <c r="D26" s="57"/>
      <c r="E26" s="85"/>
      <c r="F26" s="85"/>
      <c r="G26" s="85"/>
      <c r="H26" s="85"/>
      <c r="I26" s="85"/>
      <c r="J26" s="85"/>
      <c r="K26" s="85"/>
      <c r="L26" s="85"/>
      <c r="M26" s="86"/>
      <c r="N26" s="89" t="s">
        <v>53</v>
      </c>
      <c r="O26" s="90"/>
      <c r="P26" s="90">
        <f>O24-P25</f>
        <v>2795303</v>
      </c>
    </row>
    <row r="27" spans="1:16" ht="18" customHeight="1" x14ac:dyDescent="0.2">
      <c r="A27" s="11"/>
      <c r="H27" s="63"/>
      <c r="N27" s="62" t="s">
        <v>31</v>
      </c>
      <c r="P27" s="69">
        <f>P26*1%</f>
        <v>27953.03</v>
      </c>
    </row>
    <row r="28" spans="1:16" ht="18" customHeight="1" thickBot="1" x14ac:dyDescent="0.25">
      <c r="A28" s="11"/>
      <c r="H28" s="63"/>
      <c r="N28" s="62" t="s">
        <v>54</v>
      </c>
      <c r="P28" s="71">
        <f>P26*2%</f>
        <v>55906.06</v>
      </c>
    </row>
    <row r="29" spans="1:16" ht="18" customHeight="1" x14ac:dyDescent="0.2">
      <c r="A29" s="11"/>
      <c r="H29" s="63"/>
      <c r="N29" s="66" t="s">
        <v>32</v>
      </c>
      <c r="O29" s="67"/>
      <c r="P29" s="70">
        <f>P26+P27-P28</f>
        <v>2767349.9699999997</v>
      </c>
    </row>
    <row r="31" spans="1:16" x14ac:dyDescent="0.2">
      <c r="A31" s="11"/>
      <c r="H31" s="63"/>
      <c r="P31" s="71"/>
    </row>
    <row r="32" spans="1:16" x14ac:dyDescent="0.2">
      <c r="A32" s="11"/>
      <c r="H32" s="63"/>
      <c r="O32" s="58"/>
      <c r="P32" s="71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</sheetData>
  <mergeCells count="2">
    <mergeCell ref="A24:L24"/>
    <mergeCell ref="O24:P24"/>
  </mergeCells>
  <conditionalFormatting sqref="B3">
    <cfRule type="duplicateValues" dxfId="269" priority="2"/>
  </conditionalFormatting>
  <conditionalFormatting sqref="B4:B23">
    <cfRule type="duplicateValues" dxfId="268" priority="6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403926</v>
      </c>
      <c r="B3" s="73" t="s">
        <v>775</v>
      </c>
      <c r="C3" s="9" t="s">
        <v>776</v>
      </c>
      <c r="D3" s="75" t="s">
        <v>83</v>
      </c>
      <c r="E3" s="13" t="s">
        <v>777</v>
      </c>
      <c r="F3" s="75" t="s">
        <v>119</v>
      </c>
      <c r="G3" s="13" t="s">
        <v>750</v>
      </c>
      <c r="H3" s="10" t="s">
        <v>751</v>
      </c>
      <c r="I3" s="1">
        <v>67</v>
      </c>
      <c r="J3" s="1">
        <v>50</v>
      </c>
      <c r="K3" s="1">
        <v>50</v>
      </c>
      <c r="L3" s="1">
        <v>21</v>
      </c>
      <c r="M3" s="79">
        <v>41.875</v>
      </c>
      <c r="N3" s="103">
        <v>41.875</v>
      </c>
      <c r="O3" s="64">
        <v>7000</v>
      </c>
      <c r="P3" s="65">
        <f>Table2245789101123456789101112131415161718192021222324252627282930313233343536373839404142[[#This Row],[PEMBULATAN]]*O3</f>
        <v>293125</v>
      </c>
    </row>
    <row r="4" spans="1:16" ht="26.25" customHeight="1" x14ac:dyDescent="0.2">
      <c r="A4" s="14"/>
      <c r="B4" s="74" t="s">
        <v>778</v>
      </c>
      <c r="C4" s="9" t="s">
        <v>779</v>
      </c>
      <c r="D4" s="75" t="s">
        <v>83</v>
      </c>
      <c r="E4" s="13" t="s">
        <v>777</v>
      </c>
      <c r="F4" s="75" t="s">
        <v>119</v>
      </c>
      <c r="G4" s="13" t="s">
        <v>750</v>
      </c>
      <c r="H4" s="10" t="s">
        <v>751</v>
      </c>
      <c r="I4" s="1">
        <v>16</v>
      </c>
      <c r="J4" s="1">
        <v>14</v>
      </c>
      <c r="K4" s="1">
        <v>8</v>
      </c>
      <c r="L4" s="1">
        <v>1</v>
      </c>
      <c r="M4" s="79">
        <v>0.44800000000000001</v>
      </c>
      <c r="N4" s="103">
        <v>1</v>
      </c>
      <c r="O4" s="64">
        <v>7000</v>
      </c>
      <c r="P4" s="65">
        <f>Table2245789101123456789101112131415161718192021222324252627282930313233343536373839404142[[#This Row],[PEMBULATAN]]*O4</f>
        <v>7000</v>
      </c>
    </row>
    <row r="5" spans="1:16" ht="22.5" customHeight="1" x14ac:dyDescent="0.2">
      <c r="A5" s="143" t="s">
        <v>30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5"/>
      <c r="M5" s="78">
        <f>SUBTOTAL(109,Table2245789101123456789101112131415161718192021222324252627282930313233343536373839404142[KG VOLUME])</f>
        <v>42.323</v>
      </c>
      <c r="N5" s="68">
        <f>SUM(N3:N4)</f>
        <v>42.875</v>
      </c>
      <c r="O5" s="146">
        <f>SUM(P3:P4)</f>
        <v>300125</v>
      </c>
      <c r="P5" s="147"/>
    </row>
    <row r="6" spans="1:16" ht="18" customHeight="1" x14ac:dyDescent="0.2">
      <c r="A6" s="85"/>
      <c r="B6" s="56" t="s">
        <v>42</v>
      </c>
      <c r="C6" s="55"/>
      <c r="D6" s="57" t="s">
        <v>43</v>
      </c>
      <c r="E6" s="85"/>
      <c r="F6" s="85"/>
      <c r="G6" s="85"/>
      <c r="H6" s="85"/>
      <c r="I6" s="85"/>
      <c r="J6" s="85"/>
      <c r="K6" s="85"/>
      <c r="L6" s="85"/>
      <c r="M6" s="86"/>
      <c r="N6" s="87" t="s">
        <v>52</v>
      </c>
      <c r="O6" s="88"/>
      <c r="P6" s="88">
        <v>0</v>
      </c>
    </row>
    <row r="7" spans="1:16" ht="18" customHeight="1" thickBot="1" x14ac:dyDescent="0.25">
      <c r="A7" s="85"/>
      <c r="B7" s="56"/>
      <c r="C7" s="55"/>
      <c r="D7" s="57"/>
      <c r="E7" s="85"/>
      <c r="F7" s="85"/>
      <c r="G7" s="85"/>
      <c r="H7" s="85"/>
      <c r="I7" s="85"/>
      <c r="J7" s="85"/>
      <c r="K7" s="85"/>
      <c r="L7" s="85"/>
      <c r="M7" s="86"/>
      <c r="N7" s="89" t="s">
        <v>53</v>
      </c>
      <c r="O7" s="90"/>
      <c r="P7" s="90">
        <f>O5-P6</f>
        <v>300125</v>
      </c>
    </row>
    <row r="8" spans="1:16" ht="18" customHeight="1" x14ac:dyDescent="0.2">
      <c r="A8" s="11"/>
      <c r="H8" s="63"/>
      <c r="N8" s="62" t="s">
        <v>31</v>
      </c>
      <c r="P8" s="69">
        <f>P7*1%</f>
        <v>3001.25</v>
      </c>
    </row>
    <row r="9" spans="1:16" ht="18" customHeight="1" thickBot="1" x14ac:dyDescent="0.25">
      <c r="A9" s="11"/>
      <c r="H9" s="63"/>
      <c r="N9" s="62" t="s">
        <v>54</v>
      </c>
      <c r="P9" s="71">
        <f>P7*2%</f>
        <v>6002.5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297123.75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252" priority="2"/>
  </conditionalFormatting>
  <conditionalFormatting sqref="B4">
    <cfRule type="duplicateValues" dxfId="251" priority="6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11" sqref="O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402247</v>
      </c>
      <c r="B3" s="73" t="s">
        <v>780</v>
      </c>
      <c r="C3" s="9" t="s">
        <v>781</v>
      </c>
      <c r="D3" s="75" t="s">
        <v>83</v>
      </c>
      <c r="E3" s="13" t="s">
        <v>777</v>
      </c>
      <c r="F3" s="75" t="s">
        <v>119</v>
      </c>
      <c r="G3" s="13" t="s">
        <v>750</v>
      </c>
      <c r="H3" s="10" t="s">
        <v>751</v>
      </c>
      <c r="I3" s="1">
        <v>37</v>
      </c>
      <c r="J3" s="1">
        <v>30</v>
      </c>
      <c r="K3" s="1">
        <v>24</v>
      </c>
      <c r="L3" s="1">
        <v>9</v>
      </c>
      <c r="M3" s="79">
        <v>6.66</v>
      </c>
      <c r="N3" s="103">
        <v>9</v>
      </c>
      <c r="O3" s="64">
        <v>7000</v>
      </c>
      <c r="P3" s="65">
        <f>Table224578910112345678910111213141516171819202122232425262728293031323334353637383940414243[[#This Row],[PEMBULATAN]]*O3</f>
        <v>63000</v>
      </c>
    </row>
    <row r="4" spans="1:16" ht="26.25" customHeight="1" x14ac:dyDescent="0.2">
      <c r="A4" s="14"/>
      <c r="B4" s="74"/>
      <c r="C4" s="9" t="s">
        <v>782</v>
      </c>
      <c r="D4" s="75" t="s">
        <v>83</v>
      </c>
      <c r="E4" s="13" t="s">
        <v>777</v>
      </c>
      <c r="F4" s="75" t="s">
        <v>119</v>
      </c>
      <c r="G4" s="13" t="s">
        <v>750</v>
      </c>
      <c r="H4" s="10" t="s">
        <v>751</v>
      </c>
      <c r="I4" s="1">
        <v>60</v>
      </c>
      <c r="J4" s="1">
        <v>33</v>
      </c>
      <c r="K4" s="1">
        <v>15</v>
      </c>
      <c r="L4" s="1">
        <v>15</v>
      </c>
      <c r="M4" s="79">
        <v>7.4249999999999998</v>
      </c>
      <c r="N4" s="103">
        <v>15</v>
      </c>
      <c r="O4" s="64">
        <v>7000</v>
      </c>
      <c r="P4" s="65">
        <f>Table224578910112345678910111213141516171819202122232425262728293031323334353637383940414243[[#This Row],[PEMBULATAN]]*O4</f>
        <v>105000</v>
      </c>
    </row>
    <row r="5" spans="1:16" ht="26.25" customHeight="1" x14ac:dyDescent="0.2">
      <c r="A5" s="14"/>
      <c r="B5" s="74"/>
      <c r="C5" s="95" t="s">
        <v>783</v>
      </c>
      <c r="D5" s="96" t="s">
        <v>83</v>
      </c>
      <c r="E5" s="97" t="s">
        <v>777</v>
      </c>
      <c r="F5" s="98" t="s">
        <v>119</v>
      </c>
      <c r="G5" s="97" t="s">
        <v>750</v>
      </c>
      <c r="H5" s="99" t="s">
        <v>751</v>
      </c>
      <c r="I5" s="100">
        <v>40</v>
      </c>
      <c r="J5" s="100">
        <v>36</v>
      </c>
      <c r="K5" s="100">
        <v>21</v>
      </c>
      <c r="L5" s="100">
        <v>11</v>
      </c>
      <c r="M5" s="101">
        <v>7.56</v>
      </c>
      <c r="N5" s="107">
        <v>11</v>
      </c>
      <c r="O5" s="64">
        <v>7000</v>
      </c>
      <c r="P5" s="65">
        <f>Table224578910112345678910111213141516171819202122232425262728293031323334353637383940414243[[#This Row],[PEMBULATAN]]*O5</f>
        <v>77000</v>
      </c>
    </row>
    <row r="6" spans="1:16" ht="26.25" customHeight="1" x14ac:dyDescent="0.2">
      <c r="A6" s="14"/>
      <c r="B6" s="74"/>
      <c r="C6" s="95" t="s">
        <v>784</v>
      </c>
      <c r="D6" s="96" t="s">
        <v>83</v>
      </c>
      <c r="E6" s="97" t="s">
        <v>777</v>
      </c>
      <c r="F6" s="98" t="s">
        <v>119</v>
      </c>
      <c r="G6" s="97" t="s">
        <v>750</v>
      </c>
      <c r="H6" s="99" t="s">
        <v>751</v>
      </c>
      <c r="I6" s="100">
        <v>54</v>
      </c>
      <c r="J6" s="100">
        <v>34</v>
      </c>
      <c r="K6" s="100">
        <v>21</v>
      </c>
      <c r="L6" s="100">
        <v>20</v>
      </c>
      <c r="M6" s="101">
        <v>9.6389999999999993</v>
      </c>
      <c r="N6" s="107">
        <v>20</v>
      </c>
      <c r="O6" s="64">
        <v>7000</v>
      </c>
      <c r="P6" s="65">
        <f>Table224578910112345678910111213141516171819202122232425262728293031323334353637383940414243[[#This Row],[PEMBULATAN]]*O6</f>
        <v>140000</v>
      </c>
    </row>
    <row r="7" spans="1:16" ht="26.25" customHeight="1" x14ac:dyDescent="0.2">
      <c r="A7" s="14"/>
      <c r="B7" s="74"/>
      <c r="C7" s="95" t="s">
        <v>785</v>
      </c>
      <c r="D7" s="96" t="s">
        <v>83</v>
      </c>
      <c r="E7" s="97" t="s">
        <v>777</v>
      </c>
      <c r="F7" s="98" t="s">
        <v>119</v>
      </c>
      <c r="G7" s="97" t="s">
        <v>750</v>
      </c>
      <c r="H7" s="99" t="s">
        <v>751</v>
      </c>
      <c r="I7" s="100">
        <v>60</v>
      </c>
      <c r="J7" s="100">
        <v>40</v>
      </c>
      <c r="K7" s="100">
        <v>22</v>
      </c>
      <c r="L7" s="100">
        <v>11</v>
      </c>
      <c r="M7" s="101">
        <v>13.2</v>
      </c>
      <c r="N7" s="107">
        <v>13.2</v>
      </c>
      <c r="O7" s="64">
        <v>7000</v>
      </c>
      <c r="P7" s="65">
        <f>Table224578910112345678910111213141516171819202122232425262728293031323334353637383940414243[[#This Row],[PEMBULATAN]]*O7</f>
        <v>92400</v>
      </c>
    </row>
    <row r="8" spans="1:16" ht="26.25" customHeight="1" x14ac:dyDescent="0.2">
      <c r="A8" s="14"/>
      <c r="B8" s="74"/>
      <c r="C8" s="95" t="s">
        <v>786</v>
      </c>
      <c r="D8" s="96" t="s">
        <v>83</v>
      </c>
      <c r="E8" s="97" t="s">
        <v>777</v>
      </c>
      <c r="F8" s="98" t="s">
        <v>119</v>
      </c>
      <c r="G8" s="97" t="s">
        <v>750</v>
      </c>
      <c r="H8" s="99" t="s">
        <v>751</v>
      </c>
      <c r="I8" s="100">
        <v>83</v>
      </c>
      <c r="J8" s="100">
        <v>61</v>
      </c>
      <c r="K8" s="100">
        <v>23</v>
      </c>
      <c r="L8" s="100">
        <v>11</v>
      </c>
      <c r="M8" s="101">
        <v>29.11225</v>
      </c>
      <c r="N8" s="107">
        <v>29.11225</v>
      </c>
      <c r="O8" s="64">
        <v>7000</v>
      </c>
      <c r="P8" s="65">
        <f>Table224578910112345678910111213141516171819202122232425262728293031323334353637383940414243[[#This Row],[PEMBULATAN]]*O8</f>
        <v>203785.75</v>
      </c>
    </row>
    <row r="9" spans="1:16" ht="26.25" customHeight="1" x14ac:dyDescent="0.2">
      <c r="A9" s="14"/>
      <c r="B9" s="74"/>
      <c r="C9" s="95" t="s">
        <v>787</v>
      </c>
      <c r="D9" s="96" t="s">
        <v>83</v>
      </c>
      <c r="E9" s="97" t="s">
        <v>777</v>
      </c>
      <c r="F9" s="98" t="s">
        <v>119</v>
      </c>
      <c r="G9" s="97" t="s">
        <v>750</v>
      </c>
      <c r="H9" s="99" t="s">
        <v>751</v>
      </c>
      <c r="I9" s="100">
        <v>60</v>
      </c>
      <c r="J9" s="100">
        <v>41</v>
      </c>
      <c r="K9" s="100">
        <v>20</v>
      </c>
      <c r="L9" s="100">
        <v>19</v>
      </c>
      <c r="M9" s="101">
        <v>12.3</v>
      </c>
      <c r="N9" s="107">
        <v>19</v>
      </c>
      <c r="O9" s="64">
        <v>7000</v>
      </c>
      <c r="P9" s="65">
        <f>Table224578910112345678910111213141516171819202122232425262728293031323334353637383940414243[[#This Row],[PEMBULATAN]]*O9</f>
        <v>133000</v>
      </c>
    </row>
    <row r="10" spans="1:16" ht="22.5" customHeight="1" x14ac:dyDescent="0.2">
      <c r="A10" s="143" t="s">
        <v>30</v>
      </c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5"/>
      <c r="M10" s="78">
        <f>SUBTOTAL(109,Table224578910112345678910111213141516171819202122232425262728293031323334353637383940414243[KG VOLUME])</f>
        <v>85.896249999999995</v>
      </c>
      <c r="N10" s="68">
        <f>SUM(N3:N9)</f>
        <v>116.31225000000001</v>
      </c>
      <c r="O10" s="146">
        <f>SUM(P3:P9)</f>
        <v>814185.75</v>
      </c>
      <c r="P10" s="147"/>
    </row>
    <row r="11" spans="1:16" ht="18" customHeight="1" x14ac:dyDescent="0.2">
      <c r="A11" s="85"/>
      <c r="B11" s="56" t="s">
        <v>42</v>
      </c>
      <c r="C11" s="55"/>
      <c r="D11" s="57" t="s">
        <v>43</v>
      </c>
      <c r="E11" s="85"/>
      <c r="F11" s="85"/>
      <c r="G11" s="85"/>
      <c r="H11" s="85"/>
      <c r="I11" s="85"/>
      <c r="J11" s="85"/>
      <c r="K11" s="85"/>
      <c r="L11" s="85"/>
      <c r="M11" s="86"/>
      <c r="N11" s="87" t="s">
        <v>52</v>
      </c>
      <c r="O11" s="88"/>
      <c r="P11" s="88">
        <v>0</v>
      </c>
    </row>
    <row r="12" spans="1:16" ht="18" customHeight="1" thickBot="1" x14ac:dyDescent="0.25">
      <c r="A12" s="85"/>
      <c r="B12" s="56"/>
      <c r="C12" s="55"/>
      <c r="D12" s="57"/>
      <c r="E12" s="85"/>
      <c r="F12" s="85"/>
      <c r="G12" s="85"/>
      <c r="H12" s="85"/>
      <c r="I12" s="85"/>
      <c r="J12" s="85"/>
      <c r="K12" s="85"/>
      <c r="L12" s="85"/>
      <c r="M12" s="86"/>
      <c r="N12" s="89" t="s">
        <v>53</v>
      </c>
      <c r="O12" s="90"/>
      <c r="P12" s="90">
        <f>O10-P11</f>
        <v>814185.75</v>
      </c>
    </row>
    <row r="13" spans="1:16" ht="18" customHeight="1" x14ac:dyDescent="0.2">
      <c r="A13" s="11"/>
      <c r="H13" s="63"/>
      <c r="N13" s="62" t="s">
        <v>31</v>
      </c>
      <c r="P13" s="69">
        <f>P12*1%</f>
        <v>8141.8575000000001</v>
      </c>
    </row>
    <row r="14" spans="1:16" ht="18" customHeight="1" thickBot="1" x14ac:dyDescent="0.25">
      <c r="A14" s="11"/>
      <c r="H14" s="63"/>
      <c r="N14" s="62" t="s">
        <v>54</v>
      </c>
      <c r="P14" s="71">
        <f>P12*2%</f>
        <v>16283.715</v>
      </c>
    </row>
    <row r="15" spans="1:16" ht="18" customHeight="1" x14ac:dyDescent="0.2">
      <c r="A15" s="11"/>
      <c r="H15" s="63"/>
      <c r="N15" s="66" t="s">
        <v>32</v>
      </c>
      <c r="O15" s="67"/>
      <c r="P15" s="70">
        <f>P12+P13-P14</f>
        <v>806043.89250000007</v>
      </c>
    </row>
    <row r="17" spans="1:16" x14ac:dyDescent="0.2">
      <c r="A17" s="11"/>
      <c r="H17" s="63"/>
      <c r="P17" s="71"/>
    </row>
    <row r="18" spans="1:16" x14ac:dyDescent="0.2">
      <c r="A18" s="11"/>
      <c r="H18" s="63"/>
      <c r="O18" s="58"/>
      <c r="P18" s="71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</sheetData>
  <mergeCells count="2">
    <mergeCell ref="A10:L10"/>
    <mergeCell ref="O10:P10"/>
  </mergeCells>
  <conditionalFormatting sqref="B3">
    <cfRule type="duplicateValues" dxfId="235" priority="2"/>
  </conditionalFormatting>
  <conditionalFormatting sqref="B4:B9">
    <cfRule type="duplicateValues" dxfId="234" priority="7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A9" sqref="A9:L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403928</v>
      </c>
      <c r="B3" s="73" t="s">
        <v>806</v>
      </c>
      <c r="C3" s="9" t="s">
        <v>807</v>
      </c>
      <c r="D3" s="75" t="s">
        <v>83</v>
      </c>
      <c r="E3" s="13" t="s">
        <v>790</v>
      </c>
      <c r="F3" s="75" t="s">
        <v>119</v>
      </c>
      <c r="G3" s="13" t="s">
        <v>750</v>
      </c>
      <c r="H3" s="10" t="s">
        <v>751</v>
      </c>
      <c r="I3" s="1">
        <v>82</v>
      </c>
      <c r="J3" s="1">
        <v>57</v>
      </c>
      <c r="K3" s="1">
        <v>13</v>
      </c>
      <c r="L3" s="1">
        <v>7</v>
      </c>
      <c r="M3" s="79">
        <v>15.1905</v>
      </c>
      <c r="N3" s="103">
        <v>15.1905</v>
      </c>
      <c r="O3" s="64">
        <v>7000</v>
      </c>
      <c r="P3" s="65">
        <f>Table22457891011234567891011121314151617181920212223242526272829303132333435363738394041424344[[#This Row],[PEMBULATAN]]*O3</f>
        <v>106333.5</v>
      </c>
    </row>
    <row r="4" spans="1:16" ht="26.25" customHeight="1" x14ac:dyDescent="0.2">
      <c r="A4" s="14"/>
      <c r="B4" s="74"/>
      <c r="C4" s="9" t="s">
        <v>808</v>
      </c>
      <c r="D4" s="75" t="s">
        <v>83</v>
      </c>
      <c r="E4" s="13" t="s">
        <v>790</v>
      </c>
      <c r="F4" s="75" t="s">
        <v>119</v>
      </c>
      <c r="G4" s="13" t="s">
        <v>750</v>
      </c>
      <c r="H4" s="10" t="s">
        <v>751</v>
      </c>
      <c r="I4" s="1">
        <v>65</v>
      </c>
      <c r="J4" s="1">
        <v>56</v>
      </c>
      <c r="K4" s="1">
        <v>36</v>
      </c>
      <c r="L4" s="1">
        <v>31</v>
      </c>
      <c r="M4" s="79">
        <v>32.76</v>
      </c>
      <c r="N4" s="103">
        <v>32.76</v>
      </c>
      <c r="O4" s="64">
        <v>7000</v>
      </c>
      <c r="P4" s="65">
        <f>Table22457891011234567891011121314151617181920212223242526272829303132333435363738394041424344[[#This Row],[PEMBULATAN]]*O4</f>
        <v>229320</v>
      </c>
    </row>
    <row r="5" spans="1:16" ht="26.25" customHeight="1" x14ac:dyDescent="0.2">
      <c r="A5" s="14"/>
      <c r="B5" s="74"/>
      <c r="C5" s="95" t="s">
        <v>809</v>
      </c>
      <c r="D5" s="96" t="s">
        <v>83</v>
      </c>
      <c r="E5" s="97" t="s">
        <v>790</v>
      </c>
      <c r="F5" s="98" t="s">
        <v>119</v>
      </c>
      <c r="G5" s="97" t="s">
        <v>750</v>
      </c>
      <c r="H5" s="99" t="s">
        <v>751</v>
      </c>
      <c r="I5" s="100">
        <v>50</v>
      </c>
      <c r="J5" s="100">
        <v>43</v>
      </c>
      <c r="K5" s="100">
        <v>43</v>
      </c>
      <c r="L5" s="100">
        <v>14</v>
      </c>
      <c r="M5" s="101">
        <v>23.112500000000001</v>
      </c>
      <c r="N5" s="107">
        <v>23.112500000000001</v>
      </c>
      <c r="O5" s="64">
        <v>7000</v>
      </c>
      <c r="P5" s="65">
        <f>Table22457891011234567891011121314151617181920212223242526272829303132333435363738394041424344[[#This Row],[PEMBULATAN]]*O5</f>
        <v>161787.5</v>
      </c>
    </row>
    <row r="6" spans="1:16" ht="26.25" customHeight="1" x14ac:dyDescent="0.2">
      <c r="A6" s="14"/>
      <c r="B6" s="74"/>
      <c r="C6" s="95" t="s">
        <v>810</v>
      </c>
      <c r="D6" s="96" t="s">
        <v>83</v>
      </c>
      <c r="E6" s="97" t="s">
        <v>790</v>
      </c>
      <c r="F6" s="98" t="s">
        <v>119</v>
      </c>
      <c r="G6" s="97" t="s">
        <v>750</v>
      </c>
      <c r="H6" s="99" t="s">
        <v>751</v>
      </c>
      <c r="I6" s="100">
        <v>96</v>
      </c>
      <c r="J6" s="100">
        <v>36</v>
      </c>
      <c r="K6" s="100">
        <v>30</v>
      </c>
      <c r="L6" s="100">
        <v>22</v>
      </c>
      <c r="M6" s="101">
        <v>25.92</v>
      </c>
      <c r="N6" s="107">
        <v>25.92</v>
      </c>
      <c r="O6" s="64">
        <v>7000</v>
      </c>
      <c r="P6" s="65">
        <f>Table22457891011234567891011121314151617181920212223242526272829303132333435363738394041424344[[#This Row],[PEMBULATAN]]*O6</f>
        <v>181440</v>
      </c>
    </row>
    <row r="7" spans="1:16" ht="26.25" customHeight="1" x14ac:dyDescent="0.2">
      <c r="A7" s="14"/>
      <c r="B7" s="108"/>
      <c r="C7" s="95" t="s">
        <v>811</v>
      </c>
      <c r="D7" s="96" t="s">
        <v>83</v>
      </c>
      <c r="E7" s="97" t="s">
        <v>790</v>
      </c>
      <c r="F7" s="98" t="s">
        <v>119</v>
      </c>
      <c r="G7" s="97" t="s">
        <v>750</v>
      </c>
      <c r="H7" s="99" t="s">
        <v>751</v>
      </c>
      <c r="I7" s="100">
        <v>123</v>
      </c>
      <c r="J7" s="100">
        <v>38</v>
      </c>
      <c r="K7" s="100">
        <v>38</v>
      </c>
      <c r="L7" s="100">
        <v>15</v>
      </c>
      <c r="M7" s="101">
        <v>44.402999999999999</v>
      </c>
      <c r="N7" s="107">
        <v>45</v>
      </c>
      <c r="O7" s="64">
        <v>7000</v>
      </c>
      <c r="P7" s="65">
        <f>Table22457891011234567891011121314151617181920212223242526272829303132333435363738394041424344[[#This Row],[PEMBULATAN]]*O7</f>
        <v>315000</v>
      </c>
    </row>
    <row r="8" spans="1:16" ht="26.25" customHeight="1" x14ac:dyDescent="0.2">
      <c r="A8" s="14"/>
      <c r="B8" s="74" t="s">
        <v>812</v>
      </c>
      <c r="C8" s="95" t="s">
        <v>813</v>
      </c>
      <c r="D8" s="96" t="s">
        <v>83</v>
      </c>
      <c r="E8" s="97" t="s">
        <v>790</v>
      </c>
      <c r="F8" s="98" t="s">
        <v>119</v>
      </c>
      <c r="G8" s="97" t="s">
        <v>750</v>
      </c>
      <c r="H8" s="99" t="s">
        <v>751</v>
      </c>
      <c r="I8" s="100">
        <v>53</v>
      </c>
      <c r="J8" s="100">
        <v>30</v>
      </c>
      <c r="K8" s="100">
        <v>22</v>
      </c>
      <c r="L8" s="100">
        <v>4</v>
      </c>
      <c r="M8" s="101">
        <v>8.7449999999999992</v>
      </c>
      <c r="N8" s="107">
        <v>8.7449999999999992</v>
      </c>
      <c r="O8" s="64">
        <v>7000</v>
      </c>
      <c r="P8" s="65">
        <f>Table22457891011234567891011121314151617181920212223242526272829303132333435363738394041424344[[#This Row],[PEMBULATAN]]*O8</f>
        <v>61214.999999999993</v>
      </c>
    </row>
    <row r="9" spans="1:16" ht="22.5" customHeight="1" x14ac:dyDescent="0.2">
      <c r="A9" s="143" t="s">
        <v>30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5"/>
      <c r="M9" s="78">
        <f>SUBTOTAL(109,Table22457891011234567891011121314151617181920212223242526272829303132333435363738394041424344[KG VOLUME])</f>
        <v>150.131</v>
      </c>
      <c r="N9" s="68">
        <f>SUM(N3:N8)</f>
        <v>150.72800000000001</v>
      </c>
      <c r="O9" s="146">
        <f>SUM(P3:P8)</f>
        <v>1055096</v>
      </c>
      <c r="P9" s="147"/>
    </row>
    <row r="10" spans="1:16" ht="18" customHeight="1" x14ac:dyDescent="0.2">
      <c r="A10" s="85"/>
      <c r="B10" s="56" t="s">
        <v>42</v>
      </c>
      <c r="C10" s="55"/>
      <c r="D10" s="57" t="s">
        <v>43</v>
      </c>
      <c r="E10" s="85"/>
      <c r="F10" s="85"/>
      <c r="G10" s="85"/>
      <c r="H10" s="85"/>
      <c r="I10" s="85"/>
      <c r="J10" s="85"/>
      <c r="K10" s="85"/>
      <c r="L10" s="85"/>
      <c r="M10" s="86"/>
      <c r="N10" s="87" t="s">
        <v>52</v>
      </c>
      <c r="O10" s="88"/>
      <c r="P10" s="88">
        <v>0</v>
      </c>
    </row>
    <row r="11" spans="1:16" ht="18" customHeight="1" thickBot="1" x14ac:dyDescent="0.25">
      <c r="A11" s="85"/>
      <c r="B11" s="56"/>
      <c r="C11" s="55"/>
      <c r="D11" s="57"/>
      <c r="E11" s="85"/>
      <c r="F11" s="85"/>
      <c r="G11" s="85"/>
      <c r="H11" s="85"/>
      <c r="I11" s="85"/>
      <c r="J11" s="85"/>
      <c r="K11" s="85"/>
      <c r="L11" s="85"/>
      <c r="M11" s="86"/>
      <c r="N11" s="89" t="s">
        <v>53</v>
      </c>
      <c r="O11" s="90"/>
      <c r="P11" s="90">
        <f>O9-P10</f>
        <v>1055096</v>
      </c>
    </row>
    <row r="12" spans="1:16" ht="18" customHeight="1" x14ac:dyDescent="0.2">
      <c r="A12" s="11"/>
      <c r="H12" s="63"/>
      <c r="N12" s="62" t="s">
        <v>31</v>
      </c>
      <c r="P12" s="69">
        <f>P11*1%</f>
        <v>10550.960000000001</v>
      </c>
    </row>
    <row r="13" spans="1:16" ht="18" customHeight="1" thickBot="1" x14ac:dyDescent="0.25">
      <c r="A13" s="11"/>
      <c r="H13" s="63"/>
      <c r="N13" s="62" t="s">
        <v>54</v>
      </c>
      <c r="P13" s="71">
        <f>P11*2%</f>
        <v>21101.920000000002</v>
      </c>
    </row>
    <row r="14" spans="1:16" ht="18" customHeight="1" x14ac:dyDescent="0.2">
      <c r="A14" s="11"/>
      <c r="H14" s="63"/>
      <c r="N14" s="66" t="s">
        <v>32</v>
      </c>
      <c r="O14" s="67"/>
      <c r="P14" s="70">
        <f>P11+P12-P13</f>
        <v>1044545.0399999999</v>
      </c>
    </row>
    <row r="16" spans="1:16" x14ac:dyDescent="0.2">
      <c r="A16" s="11"/>
      <c r="H16" s="63"/>
      <c r="P16" s="71"/>
    </row>
    <row r="17" spans="1:16" x14ac:dyDescent="0.2">
      <c r="A17" s="11"/>
      <c r="H17" s="63"/>
      <c r="O17" s="58"/>
      <c r="P17" s="71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</sheetData>
  <mergeCells count="2">
    <mergeCell ref="A9:L9"/>
    <mergeCell ref="O9:P9"/>
  </mergeCells>
  <conditionalFormatting sqref="B3">
    <cfRule type="duplicateValues" dxfId="218" priority="2"/>
  </conditionalFormatting>
  <conditionalFormatting sqref="B4:B8">
    <cfRule type="duplicateValues" dxfId="217" priority="7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zoomScale="110" zoomScaleNormal="110" workbookViewId="0">
      <pane xSplit="3" ySplit="2" topLeftCell="D11" activePane="bottomRight" state="frozen"/>
      <selection activeCell="J72" sqref="J72"/>
      <selection pane="topRight" activeCell="J72" sqref="J72"/>
      <selection pane="bottomLeft" activeCell="J72" sqref="J72"/>
      <selection pane="bottomRight" activeCell="O19" sqref="O1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402422</v>
      </c>
      <c r="B3" s="73" t="s">
        <v>788</v>
      </c>
      <c r="C3" s="9" t="s">
        <v>789</v>
      </c>
      <c r="D3" s="75" t="s">
        <v>83</v>
      </c>
      <c r="E3" s="13" t="s">
        <v>790</v>
      </c>
      <c r="F3" s="75" t="s">
        <v>119</v>
      </c>
      <c r="G3" s="13" t="s">
        <v>750</v>
      </c>
      <c r="H3" s="10" t="s">
        <v>751</v>
      </c>
      <c r="I3" s="1">
        <v>69</v>
      </c>
      <c r="J3" s="1">
        <v>53</v>
      </c>
      <c r="K3" s="1">
        <v>20</v>
      </c>
      <c r="L3" s="1">
        <v>6</v>
      </c>
      <c r="M3" s="79">
        <v>18.285</v>
      </c>
      <c r="N3" s="103">
        <v>18.285</v>
      </c>
      <c r="O3" s="64">
        <v>7000</v>
      </c>
      <c r="P3" s="65">
        <f>Table2245789101123456789101112131415161718192021222324252627282930313233343536373839404142434445[[#This Row],[PEMBULATAN]]*O3</f>
        <v>127995</v>
      </c>
    </row>
    <row r="4" spans="1:16" ht="26.25" customHeight="1" x14ac:dyDescent="0.2">
      <c r="A4" s="14"/>
      <c r="B4" s="74"/>
      <c r="C4" s="9" t="s">
        <v>791</v>
      </c>
      <c r="D4" s="75" t="s">
        <v>83</v>
      </c>
      <c r="E4" s="13" t="s">
        <v>790</v>
      </c>
      <c r="F4" s="75" t="s">
        <v>119</v>
      </c>
      <c r="G4" s="13" t="s">
        <v>750</v>
      </c>
      <c r="H4" s="10" t="s">
        <v>751</v>
      </c>
      <c r="I4" s="1">
        <v>124</v>
      </c>
      <c r="J4" s="1">
        <v>12</v>
      </c>
      <c r="K4" s="1">
        <v>7</v>
      </c>
      <c r="L4" s="1">
        <v>7</v>
      </c>
      <c r="M4" s="79">
        <v>2.6040000000000001</v>
      </c>
      <c r="N4" s="103">
        <v>7</v>
      </c>
      <c r="O4" s="64">
        <v>7000</v>
      </c>
      <c r="P4" s="65">
        <f>Table2245789101123456789101112131415161718192021222324252627282930313233343536373839404142434445[[#This Row],[PEMBULATAN]]*O4</f>
        <v>49000</v>
      </c>
    </row>
    <row r="5" spans="1:16" ht="26.25" customHeight="1" x14ac:dyDescent="0.2">
      <c r="A5" s="14"/>
      <c r="B5" s="74"/>
      <c r="C5" s="95" t="s">
        <v>792</v>
      </c>
      <c r="D5" s="96" t="s">
        <v>83</v>
      </c>
      <c r="E5" s="97" t="s">
        <v>790</v>
      </c>
      <c r="F5" s="98" t="s">
        <v>119</v>
      </c>
      <c r="G5" s="97" t="s">
        <v>750</v>
      </c>
      <c r="H5" s="99" t="s">
        <v>751</v>
      </c>
      <c r="I5" s="100">
        <v>31</v>
      </c>
      <c r="J5" s="100">
        <v>31</v>
      </c>
      <c r="K5" s="100">
        <v>31</v>
      </c>
      <c r="L5" s="100">
        <v>2</v>
      </c>
      <c r="M5" s="101">
        <v>7.4477500000000001</v>
      </c>
      <c r="N5" s="107">
        <v>8</v>
      </c>
      <c r="O5" s="64">
        <v>7000</v>
      </c>
      <c r="P5" s="65">
        <f>Table2245789101123456789101112131415161718192021222324252627282930313233343536373839404142434445[[#This Row],[PEMBULATAN]]*O5</f>
        <v>56000</v>
      </c>
    </row>
    <row r="6" spans="1:16" ht="26.25" customHeight="1" x14ac:dyDescent="0.2">
      <c r="A6" s="14"/>
      <c r="B6" s="74"/>
      <c r="C6" s="95" t="s">
        <v>793</v>
      </c>
      <c r="D6" s="96" t="s">
        <v>83</v>
      </c>
      <c r="E6" s="97" t="s">
        <v>790</v>
      </c>
      <c r="F6" s="98" t="s">
        <v>119</v>
      </c>
      <c r="G6" s="97" t="s">
        <v>750</v>
      </c>
      <c r="H6" s="99" t="s">
        <v>751</v>
      </c>
      <c r="I6" s="100">
        <v>31</v>
      </c>
      <c r="J6" s="100">
        <v>31</v>
      </c>
      <c r="K6" s="100">
        <v>31</v>
      </c>
      <c r="L6" s="100">
        <v>12</v>
      </c>
      <c r="M6" s="101">
        <v>7.4477500000000001</v>
      </c>
      <c r="N6" s="107">
        <v>12</v>
      </c>
      <c r="O6" s="64">
        <v>7000</v>
      </c>
      <c r="P6" s="65">
        <f>Table2245789101123456789101112131415161718192021222324252627282930313233343536373839404142434445[[#This Row],[PEMBULATAN]]*O6</f>
        <v>84000</v>
      </c>
    </row>
    <row r="7" spans="1:16" ht="26.25" customHeight="1" x14ac:dyDescent="0.2">
      <c r="A7" s="14"/>
      <c r="B7" s="74"/>
      <c r="C7" s="95" t="s">
        <v>794</v>
      </c>
      <c r="D7" s="96" t="s">
        <v>83</v>
      </c>
      <c r="E7" s="97" t="s">
        <v>790</v>
      </c>
      <c r="F7" s="98" t="s">
        <v>119</v>
      </c>
      <c r="G7" s="97" t="s">
        <v>750</v>
      </c>
      <c r="H7" s="99" t="s">
        <v>751</v>
      </c>
      <c r="I7" s="100">
        <v>41</v>
      </c>
      <c r="J7" s="100">
        <v>39</v>
      </c>
      <c r="K7" s="100">
        <v>40</v>
      </c>
      <c r="L7" s="100">
        <v>5</v>
      </c>
      <c r="M7" s="101">
        <v>15.99</v>
      </c>
      <c r="N7" s="107">
        <v>15.99</v>
      </c>
      <c r="O7" s="64">
        <v>7000</v>
      </c>
      <c r="P7" s="65">
        <f>Table2245789101123456789101112131415161718192021222324252627282930313233343536373839404142434445[[#This Row],[PEMBULATAN]]*O7</f>
        <v>111930</v>
      </c>
    </row>
    <row r="8" spans="1:16" ht="26.25" customHeight="1" x14ac:dyDescent="0.2">
      <c r="A8" s="14"/>
      <c r="B8" s="74"/>
      <c r="C8" s="95" t="s">
        <v>795</v>
      </c>
      <c r="D8" s="96" t="s">
        <v>83</v>
      </c>
      <c r="E8" s="97" t="s">
        <v>790</v>
      </c>
      <c r="F8" s="98" t="s">
        <v>119</v>
      </c>
      <c r="G8" s="97" t="s">
        <v>750</v>
      </c>
      <c r="H8" s="99" t="s">
        <v>751</v>
      </c>
      <c r="I8" s="100">
        <v>31</v>
      </c>
      <c r="J8" s="100">
        <v>31</v>
      </c>
      <c r="K8" s="100">
        <v>31</v>
      </c>
      <c r="L8" s="100">
        <v>6</v>
      </c>
      <c r="M8" s="101">
        <v>7.4477500000000001</v>
      </c>
      <c r="N8" s="107">
        <v>8</v>
      </c>
      <c r="O8" s="64">
        <v>7000</v>
      </c>
      <c r="P8" s="65">
        <f>Table2245789101123456789101112131415161718192021222324252627282930313233343536373839404142434445[[#This Row],[PEMBULATAN]]*O8</f>
        <v>56000</v>
      </c>
    </row>
    <row r="9" spans="1:16" ht="26.25" customHeight="1" x14ac:dyDescent="0.2">
      <c r="A9" s="14"/>
      <c r="B9" s="74"/>
      <c r="C9" s="95" t="s">
        <v>796</v>
      </c>
      <c r="D9" s="96" t="s">
        <v>83</v>
      </c>
      <c r="E9" s="97" t="s">
        <v>790</v>
      </c>
      <c r="F9" s="98" t="s">
        <v>119</v>
      </c>
      <c r="G9" s="97" t="s">
        <v>750</v>
      </c>
      <c r="H9" s="99" t="s">
        <v>751</v>
      </c>
      <c r="I9" s="100">
        <v>34</v>
      </c>
      <c r="J9" s="100">
        <v>22</v>
      </c>
      <c r="K9" s="100">
        <v>24</v>
      </c>
      <c r="L9" s="100">
        <v>7</v>
      </c>
      <c r="M9" s="101">
        <v>4.4880000000000004</v>
      </c>
      <c r="N9" s="107">
        <v>7</v>
      </c>
      <c r="O9" s="64">
        <v>7000</v>
      </c>
      <c r="P9" s="65">
        <f>Table2245789101123456789101112131415161718192021222324252627282930313233343536373839404142434445[[#This Row],[PEMBULATAN]]*O9</f>
        <v>49000</v>
      </c>
    </row>
    <row r="10" spans="1:16" ht="26.25" customHeight="1" x14ac:dyDescent="0.2">
      <c r="A10" s="14"/>
      <c r="B10" s="74"/>
      <c r="C10" s="95" t="s">
        <v>797</v>
      </c>
      <c r="D10" s="96" t="s">
        <v>83</v>
      </c>
      <c r="E10" s="97" t="s">
        <v>790</v>
      </c>
      <c r="F10" s="98" t="s">
        <v>119</v>
      </c>
      <c r="G10" s="97" t="s">
        <v>750</v>
      </c>
      <c r="H10" s="99" t="s">
        <v>751</v>
      </c>
      <c r="I10" s="100">
        <v>60</v>
      </c>
      <c r="J10" s="100">
        <v>40</v>
      </c>
      <c r="K10" s="100">
        <v>33</v>
      </c>
      <c r="L10" s="100">
        <v>10</v>
      </c>
      <c r="M10" s="101">
        <v>19.8</v>
      </c>
      <c r="N10" s="107">
        <v>19.8</v>
      </c>
      <c r="O10" s="64">
        <v>7000</v>
      </c>
      <c r="P10" s="65">
        <f>Table2245789101123456789101112131415161718192021222324252627282930313233343536373839404142434445[[#This Row],[PEMBULATAN]]*O10</f>
        <v>138600</v>
      </c>
    </row>
    <row r="11" spans="1:16" ht="26.25" customHeight="1" x14ac:dyDescent="0.2">
      <c r="A11" s="14"/>
      <c r="B11" s="74"/>
      <c r="C11" s="95" t="s">
        <v>798</v>
      </c>
      <c r="D11" s="96" t="s">
        <v>83</v>
      </c>
      <c r="E11" s="97" t="s">
        <v>790</v>
      </c>
      <c r="F11" s="98" t="s">
        <v>119</v>
      </c>
      <c r="G11" s="97" t="s">
        <v>750</v>
      </c>
      <c r="H11" s="99" t="s">
        <v>751</v>
      </c>
      <c r="I11" s="100">
        <v>70</v>
      </c>
      <c r="J11" s="100">
        <v>31</v>
      </c>
      <c r="K11" s="100">
        <v>32</v>
      </c>
      <c r="L11" s="100">
        <v>13</v>
      </c>
      <c r="M11" s="101">
        <v>17.36</v>
      </c>
      <c r="N11" s="107">
        <v>18</v>
      </c>
      <c r="O11" s="64">
        <v>7000</v>
      </c>
      <c r="P11" s="65">
        <f>Table2245789101123456789101112131415161718192021222324252627282930313233343536373839404142434445[[#This Row],[PEMBULATAN]]*O11</f>
        <v>126000</v>
      </c>
    </row>
    <row r="12" spans="1:16" ht="26.25" customHeight="1" x14ac:dyDescent="0.2">
      <c r="A12" s="14"/>
      <c r="B12" s="74"/>
      <c r="C12" s="95" t="s">
        <v>799</v>
      </c>
      <c r="D12" s="96" t="s">
        <v>83</v>
      </c>
      <c r="E12" s="97" t="s">
        <v>790</v>
      </c>
      <c r="F12" s="98" t="s">
        <v>119</v>
      </c>
      <c r="G12" s="97" t="s">
        <v>750</v>
      </c>
      <c r="H12" s="99" t="s">
        <v>751</v>
      </c>
      <c r="I12" s="100">
        <v>57</v>
      </c>
      <c r="J12" s="100">
        <v>57</v>
      </c>
      <c r="K12" s="100">
        <v>25</v>
      </c>
      <c r="L12" s="100">
        <v>7</v>
      </c>
      <c r="M12" s="101">
        <v>20.306249999999999</v>
      </c>
      <c r="N12" s="107">
        <v>21</v>
      </c>
      <c r="O12" s="64">
        <v>7000</v>
      </c>
      <c r="P12" s="65">
        <f>Table2245789101123456789101112131415161718192021222324252627282930313233343536373839404142434445[[#This Row],[PEMBULATAN]]*O12</f>
        <v>147000</v>
      </c>
    </row>
    <row r="13" spans="1:16" ht="26.25" customHeight="1" x14ac:dyDescent="0.2">
      <c r="A13" s="14"/>
      <c r="B13" s="74"/>
      <c r="C13" s="95" t="s">
        <v>800</v>
      </c>
      <c r="D13" s="96" t="s">
        <v>83</v>
      </c>
      <c r="E13" s="97" t="s">
        <v>790</v>
      </c>
      <c r="F13" s="98" t="s">
        <v>119</v>
      </c>
      <c r="G13" s="97" t="s">
        <v>750</v>
      </c>
      <c r="H13" s="99" t="s">
        <v>751</v>
      </c>
      <c r="I13" s="100">
        <v>128</v>
      </c>
      <c r="J13" s="100">
        <v>73</v>
      </c>
      <c r="K13" s="100">
        <v>20</v>
      </c>
      <c r="L13" s="100">
        <v>23</v>
      </c>
      <c r="M13" s="101">
        <v>46.72</v>
      </c>
      <c r="N13" s="107">
        <v>46.72</v>
      </c>
      <c r="O13" s="64">
        <v>7000</v>
      </c>
      <c r="P13" s="65">
        <f>Table2245789101123456789101112131415161718192021222324252627282930313233343536373839404142434445[[#This Row],[PEMBULATAN]]*O13</f>
        <v>327040</v>
      </c>
    </row>
    <row r="14" spans="1:16" ht="26.25" customHeight="1" x14ac:dyDescent="0.2">
      <c r="A14" s="14"/>
      <c r="B14" s="108"/>
      <c r="C14" s="95" t="s">
        <v>801</v>
      </c>
      <c r="D14" s="96" t="s">
        <v>83</v>
      </c>
      <c r="E14" s="97" t="s">
        <v>790</v>
      </c>
      <c r="F14" s="98" t="s">
        <v>119</v>
      </c>
      <c r="G14" s="97" t="s">
        <v>750</v>
      </c>
      <c r="H14" s="99" t="s">
        <v>751</v>
      </c>
      <c r="I14" s="100">
        <v>36</v>
      </c>
      <c r="J14" s="100">
        <v>30</v>
      </c>
      <c r="K14" s="100">
        <v>20</v>
      </c>
      <c r="L14" s="100">
        <v>1</v>
      </c>
      <c r="M14" s="101">
        <v>5.4</v>
      </c>
      <c r="N14" s="107">
        <v>6</v>
      </c>
      <c r="O14" s="64">
        <v>7000</v>
      </c>
      <c r="P14" s="65">
        <f>Table2245789101123456789101112131415161718192021222324252627282930313233343536373839404142434445[[#This Row],[PEMBULATAN]]*O14</f>
        <v>42000</v>
      </c>
    </row>
    <row r="15" spans="1:16" ht="26.25" customHeight="1" x14ac:dyDescent="0.2">
      <c r="A15" s="14"/>
      <c r="B15" s="74" t="s">
        <v>802</v>
      </c>
      <c r="C15" s="95" t="s">
        <v>803</v>
      </c>
      <c r="D15" s="96" t="s">
        <v>83</v>
      </c>
      <c r="E15" s="97" t="s">
        <v>790</v>
      </c>
      <c r="F15" s="98" t="s">
        <v>119</v>
      </c>
      <c r="G15" s="97" t="s">
        <v>750</v>
      </c>
      <c r="H15" s="99" t="s">
        <v>751</v>
      </c>
      <c r="I15" s="100">
        <v>40</v>
      </c>
      <c r="J15" s="100">
        <v>47</v>
      </c>
      <c r="K15" s="100">
        <v>18</v>
      </c>
      <c r="L15" s="100">
        <v>4</v>
      </c>
      <c r="M15" s="101">
        <v>8.4600000000000009</v>
      </c>
      <c r="N15" s="107">
        <v>9</v>
      </c>
      <c r="O15" s="64">
        <v>7000</v>
      </c>
      <c r="P15" s="65">
        <f>Table2245789101123456789101112131415161718192021222324252627282930313233343536373839404142434445[[#This Row],[PEMBULATAN]]*O15</f>
        <v>63000</v>
      </c>
    </row>
    <row r="16" spans="1:16" ht="26.25" customHeight="1" x14ac:dyDescent="0.2">
      <c r="A16" s="14"/>
      <c r="B16" s="74"/>
      <c r="C16" s="95" t="s">
        <v>804</v>
      </c>
      <c r="D16" s="96" t="s">
        <v>83</v>
      </c>
      <c r="E16" s="97" t="s">
        <v>790</v>
      </c>
      <c r="F16" s="98" t="s">
        <v>119</v>
      </c>
      <c r="G16" s="97" t="s">
        <v>750</v>
      </c>
      <c r="H16" s="99" t="s">
        <v>751</v>
      </c>
      <c r="I16" s="100">
        <v>87</v>
      </c>
      <c r="J16" s="100">
        <v>48</v>
      </c>
      <c r="K16" s="100">
        <v>66</v>
      </c>
      <c r="L16" s="100">
        <v>35</v>
      </c>
      <c r="M16" s="101">
        <v>68.903999999999996</v>
      </c>
      <c r="N16" s="107">
        <v>68.903999999999996</v>
      </c>
      <c r="O16" s="64">
        <v>7000</v>
      </c>
      <c r="P16" s="65">
        <f>Table2245789101123456789101112131415161718192021222324252627282930313233343536373839404142434445[[#This Row],[PEMBULATAN]]*O16</f>
        <v>482328</v>
      </c>
    </row>
    <row r="17" spans="1:16" ht="26.25" customHeight="1" x14ac:dyDescent="0.2">
      <c r="A17" s="14"/>
      <c r="B17" s="74"/>
      <c r="C17" s="95" t="s">
        <v>805</v>
      </c>
      <c r="D17" s="96" t="s">
        <v>83</v>
      </c>
      <c r="E17" s="97" t="s">
        <v>790</v>
      </c>
      <c r="F17" s="98" t="s">
        <v>119</v>
      </c>
      <c r="G17" s="97" t="s">
        <v>750</v>
      </c>
      <c r="H17" s="99" t="s">
        <v>751</v>
      </c>
      <c r="I17" s="100">
        <v>30</v>
      </c>
      <c r="J17" s="100">
        <v>20</v>
      </c>
      <c r="K17" s="100">
        <v>18</v>
      </c>
      <c r="L17" s="100">
        <v>50</v>
      </c>
      <c r="M17" s="101">
        <v>2.7</v>
      </c>
      <c r="N17" s="107">
        <v>50</v>
      </c>
      <c r="O17" s="64">
        <v>7000</v>
      </c>
      <c r="P17" s="65">
        <f>Table2245789101123456789101112131415161718192021222324252627282930313233343536373839404142434445[[#This Row],[PEMBULATAN]]*O17</f>
        <v>350000</v>
      </c>
    </row>
    <row r="18" spans="1:16" ht="22.5" customHeight="1" x14ac:dyDescent="0.2">
      <c r="A18" s="143" t="s">
        <v>30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5"/>
      <c r="M18" s="78">
        <f>SUBTOTAL(109,Table2245789101123456789101112131415161718192021222324252627282930313233343536373839404142434445[KG VOLUME])</f>
        <v>253.3605</v>
      </c>
      <c r="N18" s="68">
        <f>SUM(N3:N17)</f>
        <v>315.69899999999996</v>
      </c>
      <c r="O18" s="146">
        <f>SUM(P3:P17)</f>
        <v>2209893</v>
      </c>
      <c r="P18" s="147"/>
    </row>
    <row r="19" spans="1:16" ht="18" customHeight="1" x14ac:dyDescent="0.2">
      <c r="A19" s="85"/>
      <c r="B19" s="56" t="s">
        <v>42</v>
      </c>
      <c r="C19" s="55"/>
      <c r="D19" s="57" t="s">
        <v>43</v>
      </c>
      <c r="E19" s="85"/>
      <c r="F19" s="85"/>
      <c r="G19" s="85"/>
      <c r="H19" s="85"/>
      <c r="I19" s="85"/>
      <c r="J19" s="85"/>
      <c r="K19" s="85"/>
      <c r="L19" s="85"/>
      <c r="M19" s="86"/>
      <c r="N19" s="87" t="s">
        <v>52</v>
      </c>
      <c r="O19" s="88"/>
      <c r="P19" s="88">
        <v>0</v>
      </c>
    </row>
    <row r="20" spans="1:16" ht="18" customHeight="1" thickBot="1" x14ac:dyDescent="0.25">
      <c r="A20" s="85"/>
      <c r="B20" s="56"/>
      <c r="C20" s="55"/>
      <c r="D20" s="57"/>
      <c r="E20" s="85"/>
      <c r="F20" s="85"/>
      <c r="G20" s="85"/>
      <c r="H20" s="85"/>
      <c r="I20" s="85"/>
      <c r="J20" s="85"/>
      <c r="K20" s="85"/>
      <c r="L20" s="85"/>
      <c r="M20" s="86"/>
      <c r="N20" s="89" t="s">
        <v>53</v>
      </c>
      <c r="O20" s="90"/>
      <c r="P20" s="90">
        <f>O18-P19</f>
        <v>2209893</v>
      </c>
    </row>
    <row r="21" spans="1:16" ht="18" customHeight="1" x14ac:dyDescent="0.2">
      <c r="A21" s="11"/>
      <c r="H21" s="63"/>
      <c r="N21" s="62" t="s">
        <v>31</v>
      </c>
      <c r="P21" s="69">
        <f>P20*1%</f>
        <v>22098.93</v>
      </c>
    </row>
    <row r="22" spans="1:16" ht="18" customHeight="1" thickBot="1" x14ac:dyDescent="0.25">
      <c r="A22" s="11"/>
      <c r="H22" s="63"/>
      <c r="N22" s="62" t="s">
        <v>54</v>
      </c>
      <c r="P22" s="71">
        <f>P20*2%</f>
        <v>44197.86</v>
      </c>
    </row>
    <row r="23" spans="1:16" ht="18" customHeight="1" x14ac:dyDescent="0.2">
      <c r="A23" s="11"/>
      <c r="H23" s="63"/>
      <c r="N23" s="66" t="s">
        <v>32</v>
      </c>
      <c r="O23" s="67"/>
      <c r="P23" s="70">
        <f>P20+P21-P22</f>
        <v>2187794.0700000003</v>
      </c>
    </row>
    <row r="25" spans="1:16" x14ac:dyDescent="0.2">
      <c r="A25" s="11"/>
      <c r="H25" s="63"/>
      <c r="P25" s="71"/>
    </row>
    <row r="26" spans="1:16" x14ac:dyDescent="0.2">
      <c r="A26" s="11"/>
      <c r="H26" s="63"/>
      <c r="O26" s="58"/>
      <c r="P26" s="71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</sheetData>
  <mergeCells count="2">
    <mergeCell ref="A18:L18"/>
    <mergeCell ref="O18:P18"/>
  </mergeCells>
  <conditionalFormatting sqref="B3">
    <cfRule type="duplicateValues" dxfId="201" priority="2"/>
  </conditionalFormatting>
  <conditionalFormatting sqref="B4:B17">
    <cfRule type="duplicateValues" dxfId="200" priority="7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8" sqref="O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402426</v>
      </c>
      <c r="B3" s="73" t="s">
        <v>814</v>
      </c>
      <c r="C3" s="9" t="s">
        <v>815</v>
      </c>
      <c r="D3" s="75" t="s">
        <v>83</v>
      </c>
      <c r="E3" s="13" t="s">
        <v>790</v>
      </c>
      <c r="F3" s="75" t="s">
        <v>84</v>
      </c>
      <c r="G3" s="13">
        <v>44498</v>
      </c>
      <c r="H3" s="10" t="s">
        <v>816</v>
      </c>
      <c r="I3" s="1">
        <v>125</v>
      </c>
      <c r="J3" s="1">
        <v>30</v>
      </c>
      <c r="K3" s="1">
        <v>15</v>
      </c>
      <c r="L3" s="1">
        <v>6</v>
      </c>
      <c r="M3" s="79">
        <v>14.0625</v>
      </c>
      <c r="N3" s="103">
        <v>14.0625</v>
      </c>
      <c r="O3" s="64">
        <v>7000</v>
      </c>
      <c r="P3" s="65">
        <f>Table224578910112345678910111213141516171819202122232425262728293031323334353637383940414243444546[[#This Row],[PEMBULATAN]]*O3</f>
        <v>98437.5</v>
      </c>
    </row>
    <row r="4" spans="1:16" ht="26.25" customHeight="1" x14ac:dyDescent="0.2">
      <c r="A4" s="14"/>
      <c r="B4" s="74"/>
      <c r="C4" s="9" t="s">
        <v>817</v>
      </c>
      <c r="D4" s="75" t="s">
        <v>83</v>
      </c>
      <c r="E4" s="13" t="s">
        <v>790</v>
      </c>
      <c r="F4" s="75" t="s">
        <v>84</v>
      </c>
      <c r="G4" s="13">
        <v>44498</v>
      </c>
      <c r="H4" s="10" t="s">
        <v>816</v>
      </c>
      <c r="I4" s="1">
        <v>62</v>
      </c>
      <c r="J4" s="1">
        <v>40</v>
      </c>
      <c r="K4" s="1">
        <v>15</v>
      </c>
      <c r="L4" s="1">
        <v>7</v>
      </c>
      <c r="M4" s="79">
        <v>9.3000000000000007</v>
      </c>
      <c r="N4" s="103">
        <v>10</v>
      </c>
      <c r="O4" s="64">
        <v>7000</v>
      </c>
      <c r="P4" s="65">
        <f>Table224578910112345678910111213141516171819202122232425262728293031323334353637383940414243444546[[#This Row],[PEMBULATAN]]*O4</f>
        <v>70000</v>
      </c>
    </row>
    <row r="5" spans="1:16" ht="26.25" customHeight="1" x14ac:dyDescent="0.2">
      <c r="A5" s="14"/>
      <c r="B5" s="108"/>
      <c r="C5" s="95" t="s">
        <v>818</v>
      </c>
      <c r="D5" s="96" t="s">
        <v>83</v>
      </c>
      <c r="E5" s="97" t="s">
        <v>790</v>
      </c>
      <c r="F5" s="98" t="s">
        <v>84</v>
      </c>
      <c r="G5" s="97">
        <v>44498</v>
      </c>
      <c r="H5" s="99" t="s">
        <v>816</v>
      </c>
      <c r="I5" s="100">
        <v>45</v>
      </c>
      <c r="J5" s="100">
        <v>37</v>
      </c>
      <c r="K5" s="100">
        <v>42</v>
      </c>
      <c r="L5" s="100">
        <v>15</v>
      </c>
      <c r="M5" s="101">
        <v>17.482500000000002</v>
      </c>
      <c r="N5" s="107">
        <v>17.482500000000002</v>
      </c>
      <c r="O5" s="64">
        <v>7000</v>
      </c>
      <c r="P5" s="65">
        <f>Table224578910112345678910111213141516171819202122232425262728293031323334353637383940414243444546[[#This Row],[PEMBULATAN]]*O5</f>
        <v>122377.50000000001</v>
      </c>
    </row>
    <row r="6" spans="1:16" ht="26.25" customHeight="1" x14ac:dyDescent="0.2">
      <c r="A6" s="14"/>
      <c r="B6" s="74" t="s">
        <v>819</v>
      </c>
      <c r="C6" s="95" t="s">
        <v>820</v>
      </c>
      <c r="D6" s="96" t="s">
        <v>83</v>
      </c>
      <c r="E6" s="97" t="s">
        <v>790</v>
      </c>
      <c r="F6" s="98" t="s">
        <v>84</v>
      </c>
      <c r="G6" s="97">
        <v>44498</v>
      </c>
      <c r="H6" s="99" t="s">
        <v>816</v>
      </c>
      <c r="I6" s="100">
        <v>43</v>
      </c>
      <c r="J6" s="100">
        <v>33</v>
      </c>
      <c r="K6" s="100">
        <v>24</v>
      </c>
      <c r="L6" s="100">
        <v>6</v>
      </c>
      <c r="M6" s="101">
        <v>8.5139999999999993</v>
      </c>
      <c r="N6" s="107">
        <v>8.5139999999999993</v>
      </c>
      <c r="O6" s="64">
        <v>7000</v>
      </c>
      <c r="P6" s="65">
        <f>Table224578910112345678910111213141516171819202122232425262728293031323334353637383940414243444546[[#This Row],[PEMBULATAN]]*O6</f>
        <v>59597.999999999993</v>
      </c>
    </row>
    <row r="7" spans="1:16" ht="22.5" customHeight="1" x14ac:dyDescent="0.2">
      <c r="A7" s="143" t="s">
        <v>30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5"/>
      <c r="M7" s="78">
        <f>SUBTOTAL(109,Table224578910112345678910111213141516171819202122232425262728293031323334353637383940414243444546[KG VOLUME])</f>
        <v>49.358999999999995</v>
      </c>
      <c r="N7" s="68">
        <f>SUM(N3:N6)</f>
        <v>50.058999999999997</v>
      </c>
      <c r="O7" s="146">
        <f>SUM(P3:P6)</f>
        <v>350413</v>
      </c>
      <c r="P7" s="147"/>
    </row>
    <row r="8" spans="1:16" ht="18" customHeight="1" x14ac:dyDescent="0.2">
      <c r="A8" s="85"/>
      <c r="B8" s="56" t="s">
        <v>42</v>
      </c>
      <c r="C8" s="55"/>
      <c r="D8" s="57" t="s">
        <v>43</v>
      </c>
      <c r="E8" s="85"/>
      <c r="F8" s="85"/>
      <c r="G8" s="85"/>
      <c r="H8" s="85"/>
      <c r="I8" s="85"/>
      <c r="J8" s="85"/>
      <c r="K8" s="85"/>
      <c r="L8" s="85"/>
      <c r="M8" s="86"/>
      <c r="N8" s="87" t="s">
        <v>52</v>
      </c>
      <c r="O8" s="88"/>
      <c r="P8" s="88">
        <v>0</v>
      </c>
    </row>
    <row r="9" spans="1:16" ht="18" customHeight="1" thickBot="1" x14ac:dyDescent="0.25">
      <c r="A9" s="85"/>
      <c r="B9" s="56"/>
      <c r="C9" s="55"/>
      <c r="D9" s="57"/>
      <c r="E9" s="85"/>
      <c r="F9" s="85"/>
      <c r="G9" s="85"/>
      <c r="H9" s="85"/>
      <c r="I9" s="85"/>
      <c r="J9" s="85"/>
      <c r="K9" s="85"/>
      <c r="L9" s="85"/>
      <c r="M9" s="86"/>
      <c r="N9" s="89" t="s">
        <v>53</v>
      </c>
      <c r="O9" s="90"/>
      <c r="P9" s="90">
        <f>O7-P8</f>
        <v>350413</v>
      </c>
    </row>
    <row r="10" spans="1:16" ht="18" customHeight="1" x14ac:dyDescent="0.2">
      <c r="A10" s="11"/>
      <c r="H10" s="63"/>
      <c r="N10" s="62" t="s">
        <v>31</v>
      </c>
      <c r="P10" s="69">
        <f>P9*1%</f>
        <v>3504.13</v>
      </c>
    </row>
    <row r="11" spans="1:16" ht="18" customHeight="1" thickBot="1" x14ac:dyDescent="0.25">
      <c r="A11" s="11"/>
      <c r="H11" s="63"/>
      <c r="N11" s="62" t="s">
        <v>54</v>
      </c>
      <c r="P11" s="71">
        <f>P9*2%</f>
        <v>7008.26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346908.87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184" priority="2"/>
  </conditionalFormatting>
  <conditionalFormatting sqref="B4:B6">
    <cfRule type="duplicateValues" dxfId="183" priority="7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6" sqref="O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403930</v>
      </c>
      <c r="B3" s="73" t="s">
        <v>821</v>
      </c>
      <c r="C3" s="9" t="s">
        <v>822</v>
      </c>
      <c r="D3" s="75" t="s">
        <v>83</v>
      </c>
      <c r="E3" s="13" t="s">
        <v>750</v>
      </c>
      <c r="F3" s="75" t="s">
        <v>84</v>
      </c>
      <c r="G3" s="13">
        <v>44498</v>
      </c>
      <c r="H3" s="10" t="s">
        <v>816</v>
      </c>
      <c r="I3" s="1">
        <v>60</v>
      </c>
      <c r="J3" s="1">
        <v>44</v>
      </c>
      <c r="K3" s="1">
        <v>20</v>
      </c>
      <c r="L3" s="1">
        <v>8</v>
      </c>
      <c r="M3" s="79">
        <v>13.2</v>
      </c>
      <c r="N3" s="103">
        <v>13.2</v>
      </c>
      <c r="O3" s="64">
        <v>7000</v>
      </c>
      <c r="P3" s="65">
        <f>Table22457891011234567891011121314151617181920212223242526272829303132333435363738394041424344454647[[#This Row],[PEMBULATAN]]*O3</f>
        <v>92400</v>
      </c>
    </row>
    <row r="4" spans="1:16" ht="26.25" customHeight="1" x14ac:dyDescent="0.2">
      <c r="A4" s="14"/>
      <c r="B4" s="74"/>
      <c r="C4" s="9" t="s">
        <v>823</v>
      </c>
      <c r="D4" s="75" t="s">
        <v>83</v>
      </c>
      <c r="E4" s="13" t="s">
        <v>750</v>
      </c>
      <c r="F4" s="75" t="s">
        <v>84</v>
      </c>
      <c r="G4" s="13">
        <v>44498</v>
      </c>
      <c r="H4" s="10" t="s">
        <v>816</v>
      </c>
      <c r="I4" s="1">
        <v>90</v>
      </c>
      <c r="J4" s="1">
        <v>60</v>
      </c>
      <c r="K4" s="1">
        <v>10</v>
      </c>
      <c r="L4" s="1">
        <v>9</v>
      </c>
      <c r="M4" s="79">
        <v>13.5</v>
      </c>
      <c r="N4" s="103">
        <v>13.5</v>
      </c>
      <c r="O4" s="64">
        <v>7000</v>
      </c>
      <c r="P4" s="65">
        <f>Table22457891011234567891011121314151617181920212223242526272829303132333435363738394041424344454647[[#This Row],[PEMBULATAN]]*O4</f>
        <v>94500</v>
      </c>
    </row>
    <row r="5" spans="1:16" ht="22.5" customHeight="1" x14ac:dyDescent="0.2">
      <c r="A5" s="143" t="s">
        <v>30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5"/>
      <c r="M5" s="78">
        <f>SUBTOTAL(109,Table22457891011234567891011121314151617181920212223242526272829303132333435363738394041424344454647[KG VOLUME])</f>
        <v>26.7</v>
      </c>
      <c r="N5" s="68">
        <f>SUM(N3:N4)</f>
        <v>26.7</v>
      </c>
      <c r="O5" s="146">
        <f>SUM(P3:P4)</f>
        <v>186900</v>
      </c>
      <c r="P5" s="147"/>
    </row>
    <row r="6" spans="1:16" ht="18" customHeight="1" x14ac:dyDescent="0.2">
      <c r="A6" s="85"/>
      <c r="B6" s="56" t="s">
        <v>42</v>
      </c>
      <c r="C6" s="55"/>
      <c r="D6" s="57" t="s">
        <v>43</v>
      </c>
      <c r="E6" s="85"/>
      <c r="F6" s="85"/>
      <c r="G6" s="85"/>
      <c r="H6" s="85"/>
      <c r="I6" s="85"/>
      <c r="J6" s="85"/>
      <c r="K6" s="85"/>
      <c r="L6" s="85"/>
      <c r="M6" s="86"/>
      <c r="N6" s="87" t="s">
        <v>52</v>
      </c>
      <c r="O6" s="88"/>
      <c r="P6" s="88">
        <v>0</v>
      </c>
    </row>
    <row r="7" spans="1:16" ht="18" customHeight="1" thickBot="1" x14ac:dyDescent="0.25">
      <c r="A7" s="85"/>
      <c r="B7" s="56"/>
      <c r="C7" s="55"/>
      <c r="D7" s="57"/>
      <c r="E7" s="85"/>
      <c r="F7" s="85"/>
      <c r="G7" s="85"/>
      <c r="H7" s="85"/>
      <c r="I7" s="85"/>
      <c r="J7" s="85"/>
      <c r="K7" s="85"/>
      <c r="L7" s="85"/>
      <c r="M7" s="86"/>
      <c r="N7" s="89" t="s">
        <v>53</v>
      </c>
      <c r="O7" s="90"/>
      <c r="P7" s="90">
        <f>O5-P6</f>
        <v>186900</v>
      </c>
    </row>
    <row r="8" spans="1:16" ht="18" customHeight="1" x14ac:dyDescent="0.2">
      <c r="A8" s="11"/>
      <c r="H8" s="63"/>
      <c r="N8" s="62" t="s">
        <v>31</v>
      </c>
      <c r="P8" s="69">
        <f>P7*1%</f>
        <v>1869</v>
      </c>
    </row>
    <row r="9" spans="1:16" ht="18" customHeight="1" thickBot="1" x14ac:dyDescent="0.25">
      <c r="A9" s="11"/>
      <c r="H9" s="63"/>
      <c r="N9" s="62" t="s">
        <v>54</v>
      </c>
      <c r="P9" s="71">
        <f>P7*2%</f>
        <v>3738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185031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67" priority="2"/>
  </conditionalFormatting>
  <conditionalFormatting sqref="B4">
    <cfRule type="duplicateValues" dxfId="166" priority="7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zoomScale="110" zoomScaleNormal="110" workbookViewId="0">
      <pane xSplit="3" ySplit="2" topLeftCell="D11" activePane="bottomRight" state="frozen"/>
      <selection pane="topRight" activeCell="B1" sqref="B1"/>
      <selection pane="bottomLeft" activeCell="A3" sqref="A3"/>
      <selection pane="bottomRight" activeCell="O19" sqref="O1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402432</v>
      </c>
      <c r="B3" s="73" t="s">
        <v>824</v>
      </c>
      <c r="C3" s="9" t="s">
        <v>825</v>
      </c>
      <c r="D3" s="75" t="s">
        <v>83</v>
      </c>
      <c r="E3" s="13" t="s">
        <v>750</v>
      </c>
      <c r="F3" s="75" t="s">
        <v>84</v>
      </c>
      <c r="G3" s="13">
        <v>44498</v>
      </c>
      <c r="H3" s="10" t="s">
        <v>816</v>
      </c>
      <c r="I3" s="1">
        <v>44</v>
      </c>
      <c r="J3" s="1">
        <v>40</v>
      </c>
      <c r="K3" s="1">
        <v>26</v>
      </c>
      <c r="L3" s="1">
        <v>13</v>
      </c>
      <c r="M3" s="79">
        <v>11.44</v>
      </c>
      <c r="N3" s="103">
        <v>13</v>
      </c>
      <c r="O3" s="64">
        <v>7000</v>
      </c>
      <c r="P3" s="65">
        <f>Table2245789101123456789101112131415161718192021222324252627282930313233343536373839404142434445464748[[#This Row],[PEMBULATAN]]*O3</f>
        <v>91000</v>
      </c>
    </row>
    <row r="4" spans="1:16" ht="26.25" customHeight="1" x14ac:dyDescent="0.2">
      <c r="A4" s="14"/>
      <c r="B4" s="74"/>
      <c r="C4" s="9" t="s">
        <v>826</v>
      </c>
      <c r="D4" s="75" t="s">
        <v>83</v>
      </c>
      <c r="E4" s="13" t="s">
        <v>750</v>
      </c>
      <c r="F4" s="75" t="s">
        <v>84</v>
      </c>
      <c r="G4" s="13">
        <v>44498</v>
      </c>
      <c r="H4" s="10" t="s">
        <v>816</v>
      </c>
      <c r="I4" s="1">
        <v>41</v>
      </c>
      <c r="J4" s="1">
        <v>43</v>
      </c>
      <c r="K4" s="1">
        <v>40</v>
      </c>
      <c r="L4" s="1">
        <v>20</v>
      </c>
      <c r="M4" s="79">
        <v>17.63</v>
      </c>
      <c r="N4" s="103">
        <v>20</v>
      </c>
      <c r="O4" s="64">
        <v>7000</v>
      </c>
      <c r="P4" s="65">
        <f>Table2245789101123456789101112131415161718192021222324252627282930313233343536373839404142434445464748[[#This Row],[PEMBULATAN]]*O4</f>
        <v>140000</v>
      </c>
    </row>
    <row r="5" spans="1:16" ht="26.25" customHeight="1" x14ac:dyDescent="0.2">
      <c r="A5" s="14"/>
      <c r="B5" s="74"/>
      <c r="C5" s="95" t="s">
        <v>827</v>
      </c>
      <c r="D5" s="96" t="s">
        <v>83</v>
      </c>
      <c r="E5" s="97" t="s">
        <v>750</v>
      </c>
      <c r="F5" s="98" t="s">
        <v>84</v>
      </c>
      <c r="G5" s="97">
        <v>44498</v>
      </c>
      <c r="H5" s="99" t="s">
        <v>816</v>
      </c>
      <c r="I5" s="100">
        <v>73</v>
      </c>
      <c r="J5" s="100">
        <v>70</v>
      </c>
      <c r="K5" s="100">
        <v>30</v>
      </c>
      <c r="L5" s="100">
        <v>26</v>
      </c>
      <c r="M5" s="101">
        <v>38.325000000000003</v>
      </c>
      <c r="N5" s="107">
        <v>39</v>
      </c>
      <c r="O5" s="64">
        <v>7000</v>
      </c>
      <c r="P5" s="65">
        <f>Table2245789101123456789101112131415161718192021222324252627282930313233343536373839404142434445464748[[#This Row],[PEMBULATAN]]*O5</f>
        <v>273000</v>
      </c>
    </row>
    <row r="6" spans="1:16" ht="26.25" customHeight="1" x14ac:dyDescent="0.2">
      <c r="A6" s="14"/>
      <c r="B6" s="74"/>
      <c r="C6" s="95" t="s">
        <v>828</v>
      </c>
      <c r="D6" s="96" t="s">
        <v>83</v>
      </c>
      <c r="E6" s="97" t="s">
        <v>750</v>
      </c>
      <c r="F6" s="98" t="s">
        <v>84</v>
      </c>
      <c r="G6" s="97">
        <v>44498</v>
      </c>
      <c r="H6" s="99" t="s">
        <v>816</v>
      </c>
      <c r="I6" s="100">
        <v>57</v>
      </c>
      <c r="J6" s="100">
        <v>42</v>
      </c>
      <c r="K6" s="100">
        <v>22</v>
      </c>
      <c r="L6" s="100">
        <v>9</v>
      </c>
      <c r="M6" s="101">
        <v>13.167</v>
      </c>
      <c r="N6" s="107">
        <v>13.167</v>
      </c>
      <c r="O6" s="64">
        <v>7000</v>
      </c>
      <c r="P6" s="65">
        <f>Table2245789101123456789101112131415161718192021222324252627282930313233343536373839404142434445464748[[#This Row],[PEMBULATAN]]*O6</f>
        <v>92169</v>
      </c>
    </row>
    <row r="7" spans="1:16" ht="26.25" customHeight="1" x14ac:dyDescent="0.2">
      <c r="A7" s="14"/>
      <c r="B7" s="74"/>
      <c r="C7" s="95" t="s">
        <v>829</v>
      </c>
      <c r="D7" s="96" t="s">
        <v>83</v>
      </c>
      <c r="E7" s="97" t="s">
        <v>750</v>
      </c>
      <c r="F7" s="98" t="s">
        <v>84</v>
      </c>
      <c r="G7" s="97">
        <v>44498</v>
      </c>
      <c r="H7" s="99" t="s">
        <v>816</v>
      </c>
      <c r="I7" s="100">
        <v>30</v>
      </c>
      <c r="J7" s="100">
        <v>30</v>
      </c>
      <c r="K7" s="100">
        <v>14</v>
      </c>
      <c r="L7" s="100">
        <v>4</v>
      </c>
      <c r="M7" s="101">
        <v>3.15</v>
      </c>
      <c r="N7" s="107">
        <v>4</v>
      </c>
      <c r="O7" s="64">
        <v>7000</v>
      </c>
      <c r="P7" s="65">
        <f>Table2245789101123456789101112131415161718192021222324252627282930313233343536373839404142434445464748[[#This Row],[PEMBULATAN]]*O7</f>
        <v>28000</v>
      </c>
    </row>
    <row r="8" spans="1:16" ht="26.25" customHeight="1" x14ac:dyDescent="0.2">
      <c r="A8" s="14"/>
      <c r="B8" s="74"/>
      <c r="C8" s="95" t="s">
        <v>830</v>
      </c>
      <c r="D8" s="96" t="s">
        <v>83</v>
      </c>
      <c r="E8" s="97" t="s">
        <v>750</v>
      </c>
      <c r="F8" s="98" t="s">
        <v>84</v>
      </c>
      <c r="G8" s="97">
        <v>44498</v>
      </c>
      <c r="H8" s="99" t="s">
        <v>816</v>
      </c>
      <c r="I8" s="100">
        <v>68</v>
      </c>
      <c r="J8" s="100">
        <v>45</v>
      </c>
      <c r="K8" s="100">
        <v>27</v>
      </c>
      <c r="L8" s="100">
        <v>13</v>
      </c>
      <c r="M8" s="101">
        <v>20.655000000000001</v>
      </c>
      <c r="N8" s="107">
        <v>20.655000000000001</v>
      </c>
      <c r="O8" s="64">
        <v>7000</v>
      </c>
      <c r="P8" s="65">
        <f>Table2245789101123456789101112131415161718192021222324252627282930313233343536373839404142434445464748[[#This Row],[PEMBULATAN]]*O8</f>
        <v>144585</v>
      </c>
    </row>
    <row r="9" spans="1:16" ht="26.25" customHeight="1" x14ac:dyDescent="0.2">
      <c r="A9" s="14"/>
      <c r="B9" s="74"/>
      <c r="C9" s="95" t="s">
        <v>831</v>
      </c>
      <c r="D9" s="96" t="s">
        <v>83</v>
      </c>
      <c r="E9" s="97" t="s">
        <v>750</v>
      </c>
      <c r="F9" s="98" t="s">
        <v>84</v>
      </c>
      <c r="G9" s="97">
        <v>44498</v>
      </c>
      <c r="H9" s="99" t="s">
        <v>816</v>
      </c>
      <c r="I9" s="100">
        <v>90</v>
      </c>
      <c r="J9" s="100">
        <v>40</v>
      </c>
      <c r="K9" s="100">
        <v>30</v>
      </c>
      <c r="L9" s="100">
        <v>11</v>
      </c>
      <c r="M9" s="101">
        <v>27</v>
      </c>
      <c r="N9" s="107">
        <v>27</v>
      </c>
      <c r="O9" s="64">
        <v>7000</v>
      </c>
      <c r="P9" s="65">
        <f>Table2245789101123456789101112131415161718192021222324252627282930313233343536373839404142434445464748[[#This Row],[PEMBULATAN]]*O9</f>
        <v>189000</v>
      </c>
    </row>
    <row r="10" spans="1:16" ht="26.25" customHeight="1" x14ac:dyDescent="0.2">
      <c r="A10" s="14"/>
      <c r="B10" s="108"/>
      <c r="C10" s="95" t="s">
        <v>832</v>
      </c>
      <c r="D10" s="96" t="s">
        <v>83</v>
      </c>
      <c r="E10" s="97" t="s">
        <v>750</v>
      </c>
      <c r="F10" s="98" t="s">
        <v>84</v>
      </c>
      <c r="G10" s="97">
        <v>44498</v>
      </c>
      <c r="H10" s="99" t="s">
        <v>816</v>
      </c>
      <c r="I10" s="100">
        <v>90</v>
      </c>
      <c r="J10" s="100">
        <v>40</v>
      </c>
      <c r="K10" s="100">
        <v>30</v>
      </c>
      <c r="L10" s="100">
        <v>11</v>
      </c>
      <c r="M10" s="101">
        <v>27</v>
      </c>
      <c r="N10" s="107">
        <v>27</v>
      </c>
      <c r="O10" s="64">
        <v>7000</v>
      </c>
      <c r="P10" s="65">
        <f>Table2245789101123456789101112131415161718192021222324252627282930313233343536373839404142434445464748[[#This Row],[PEMBULATAN]]*O10</f>
        <v>189000</v>
      </c>
    </row>
    <row r="11" spans="1:16" ht="26.25" customHeight="1" x14ac:dyDescent="0.2">
      <c r="A11" s="14"/>
      <c r="B11" s="74" t="s">
        <v>833</v>
      </c>
      <c r="C11" s="95" t="s">
        <v>834</v>
      </c>
      <c r="D11" s="96" t="s">
        <v>83</v>
      </c>
      <c r="E11" s="97" t="s">
        <v>750</v>
      </c>
      <c r="F11" s="98" t="s">
        <v>84</v>
      </c>
      <c r="G11" s="97">
        <v>44498</v>
      </c>
      <c r="H11" s="99" t="s">
        <v>816</v>
      </c>
      <c r="I11" s="100">
        <v>35</v>
      </c>
      <c r="J11" s="100">
        <v>31</v>
      </c>
      <c r="K11" s="100">
        <v>10</v>
      </c>
      <c r="L11" s="100">
        <v>4</v>
      </c>
      <c r="M11" s="101">
        <v>2.7124999999999999</v>
      </c>
      <c r="N11" s="107">
        <v>4</v>
      </c>
      <c r="O11" s="64">
        <v>7000</v>
      </c>
      <c r="P11" s="65">
        <f>Table2245789101123456789101112131415161718192021222324252627282930313233343536373839404142434445464748[[#This Row],[PEMBULATAN]]*O11</f>
        <v>28000</v>
      </c>
    </row>
    <row r="12" spans="1:16" ht="26.25" customHeight="1" x14ac:dyDescent="0.2">
      <c r="A12" s="14"/>
      <c r="B12" s="108"/>
      <c r="C12" s="95" t="s">
        <v>835</v>
      </c>
      <c r="D12" s="96" t="s">
        <v>83</v>
      </c>
      <c r="E12" s="97" t="s">
        <v>750</v>
      </c>
      <c r="F12" s="98" t="s">
        <v>84</v>
      </c>
      <c r="G12" s="97">
        <v>44498</v>
      </c>
      <c r="H12" s="99" t="s">
        <v>816</v>
      </c>
      <c r="I12" s="100">
        <v>151</v>
      </c>
      <c r="J12" s="100">
        <v>12</v>
      </c>
      <c r="K12" s="100">
        <v>70</v>
      </c>
      <c r="L12" s="100">
        <v>31</v>
      </c>
      <c r="M12" s="101">
        <v>31.71</v>
      </c>
      <c r="N12" s="107">
        <v>31.71</v>
      </c>
      <c r="O12" s="64">
        <v>7000</v>
      </c>
      <c r="P12" s="65">
        <f>Table2245789101123456789101112131415161718192021222324252627282930313233343536373839404142434445464748[[#This Row],[PEMBULATAN]]*O12</f>
        <v>221970</v>
      </c>
    </row>
    <row r="13" spans="1:16" ht="26.25" customHeight="1" x14ac:dyDescent="0.2">
      <c r="A13" s="14"/>
      <c r="B13" s="109" t="s">
        <v>836</v>
      </c>
      <c r="C13" s="95" t="s">
        <v>837</v>
      </c>
      <c r="D13" s="96" t="s">
        <v>83</v>
      </c>
      <c r="E13" s="97" t="s">
        <v>750</v>
      </c>
      <c r="F13" s="98" t="s">
        <v>84</v>
      </c>
      <c r="G13" s="97">
        <v>44498</v>
      </c>
      <c r="H13" s="99" t="s">
        <v>816</v>
      </c>
      <c r="I13" s="100">
        <v>38</v>
      </c>
      <c r="J13" s="100">
        <v>35</v>
      </c>
      <c r="K13" s="100">
        <v>18</v>
      </c>
      <c r="L13" s="100">
        <v>12</v>
      </c>
      <c r="M13" s="101">
        <v>5.9850000000000003</v>
      </c>
      <c r="N13" s="107">
        <v>12</v>
      </c>
      <c r="O13" s="64">
        <v>7000</v>
      </c>
      <c r="P13" s="65">
        <f>Table2245789101123456789101112131415161718192021222324252627282930313233343536373839404142434445464748[[#This Row],[PEMBULATAN]]*O13</f>
        <v>84000</v>
      </c>
    </row>
    <row r="14" spans="1:16" ht="26.25" customHeight="1" x14ac:dyDescent="0.2">
      <c r="A14" s="14"/>
      <c r="B14" s="74" t="s">
        <v>838</v>
      </c>
      <c r="C14" s="95" t="s">
        <v>839</v>
      </c>
      <c r="D14" s="96" t="s">
        <v>83</v>
      </c>
      <c r="E14" s="97" t="s">
        <v>750</v>
      </c>
      <c r="F14" s="98" t="s">
        <v>84</v>
      </c>
      <c r="G14" s="97">
        <v>44498</v>
      </c>
      <c r="H14" s="99" t="s">
        <v>816</v>
      </c>
      <c r="I14" s="100">
        <v>33</v>
      </c>
      <c r="J14" s="100">
        <v>20</v>
      </c>
      <c r="K14" s="100">
        <v>15</v>
      </c>
      <c r="L14" s="100">
        <v>7</v>
      </c>
      <c r="M14" s="101">
        <v>2.4750000000000001</v>
      </c>
      <c r="N14" s="107">
        <v>7</v>
      </c>
      <c r="O14" s="64">
        <v>7000</v>
      </c>
      <c r="P14" s="65">
        <f>Table2245789101123456789101112131415161718192021222324252627282930313233343536373839404142434445464748[[#This Row],[PEMBULATAN]]*O14</f>
        <v>49000</v>
      </c>
    </row>
    <row r="15" spans="1:16" ht="26.25" customHeight="1" x14ac:dyDescent="0.2">
      <c r="A15" s="14"/>
      <c r="B15" s="74"/>
      <c r="C15" s="95" t="s">
        <v>840</v>
      </c>
      <c r="D15" s="96" t="s">
        <v>83</v>
      </c>
      <c r="E15" s="97" t="s">
        <v>750</v>
      </c>
      <c r="F15" s="98" t="s">
        <v>84</v>
      </c>
      <c r="G15" s="97">
        <v>44498</v>
      </c>
      <c r="H15" s="99" t="s">
        <v>816</v>
      </c>
      <c r="I15" s="100">
        <v>33</v>
      </c>
      <c r="J15" s="100">
        <v>20</v>
      </c>
      <c r="K15" s="100">
        <v>15</v>
      </c>
      <c r="L15" s="100">
        <v>7</v>
      </c>
      <c r="M15" s="101">
        <v>2.4750000000000001</v>
      </c>
      <c r="N15" s="107">
        <v>7</v>
      </c>
      <c r="O15" s="64">
        <v>7000</v>
      </c>
      <c r="P15" s="65">
        <f>Table2245789101123456789101112131415161718192021222324252627282930313233343536373839404142434445464748[[#This Row],[PEMBULATAN]]*O15</f>
        <v>49000</v>
      </c>
    </row>
    <row r="16" spans="1:16" ht="26.25" customHeight="1" x14ac:dyDescent="0.2">
      <c r="A16" s="14"/>
      <c r="B16" s="74"/>
      <c r="C16" s="95" t="s">
        <v>841</v>
      </c>
      <c r="D16" s="96" t="s">
        <v>83</v>
      </c>
      <c r="E16" s="97" t="s">
        <v>750</v>
      </c>
      <c r="F16" s="98" t="s">
        <v>84</v>
      </c>
      <c r="G16" s="97">
        <v>44498</v>
      </c>
      <c r="H16" s="99" t="s">
        <v>816</v>
      </c>
      <c r="I16" s="100">
        <v>33</v>
      </c>
      <c r="J16" s="100">
        <v>20</v>
      </c>
      <c r="K16" s="100">
        <v>15</v>
      </c>
      <c r="L16" s="100">
        <v>7</v>
      </c>
      <c r="M16" s="101">
        <v>2.4750000000000001</v>
      </c>
      <c r="N16" s="107">
        <v>7</v>
      </c>
      <c r="O16" s="64">
        <v>7000</v>
      </c>
      <c r="P16" s="65">
        <f>Table2245789101123456789101112131415161718192021222324252627282930313233343536373839404142434445464748[[#This Row],[PEMBULATAN]]*O16</f>
        <v>49000</v>
      </c>
    </row>
    <row r="17" spans="1:16" ht="26.25" customHeight="1" x14ac:dyDescent="0.2">
      <c r="A17" s="14"/>
      <c r="B17" s="74"/>
      <c r="C17" s="95" t="s">
        <v>842</v>
      </c>
      <c r="D17" s="96" t="s">
        <v>83</v>
      </c>
      <c r="E17" s="97" t="s">
        <v>750</v>
      </c>
      <c r="F17" s="98" t="s">
        <v>84</v>
      </c>
      <c r="G17" s="97">
        <v>44498</v>
      </c>
      <c r="H17" s="99" t="s">
        <v>816</v>
      </c>
      <c r="I17" s="100">
        <v>37</v>
      </c>
      <c r="J17" s="100">
        <v>30</v>
      </c>
      <c r="K17" s="100">
        <v>24</v>
      </c>
      <c r="L17" s="100">
        <v>11</v>
      </c>
      <c r="M17" s="101">
        <v>6.66</v>
      </c>
      <c r="N17" s="107">
        <v>11</v>
      </c>
      <c r="O17" s="64">
        <v>7000</v>
      </c>
      <c r="P17" s="65">
        <f>Table2245789101123456789101112131415161718192021222324252627282930313233343536373839404142434445464748[[#This Row],[PEMBULATAN]]*O17</f>
        <v>77000</v>
      </c>
    </row>
    <row r="18" spans="1:16" ht="22.5" customHeight="1" x14ac:dyDescent="0.2">
      <c r="A18" s="143" t="s">
        <v>30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5"/>
      <c r="M18" s="78">
        <f>SUBTOTAL(109,Table2245789101123456789101112131415161718192021222324252627282930313233343536373839404142434445464748[KG VOLUME])</f>
        <v>212.85950000000003</v>
      </c>
      <c r="N18" s="68">
        <f>SUM(N3:N17)</f>
        <v>243.53200000000001</v>
      </c>
      <c r="O18" s="146">
        <f>SUM(P3:P17)</f>
        <v>1704724</v>
      </c>
      <c r="P18" s="147"/>
    </row>
    <row r="19" spans="1:16" ht="18" customHeight="1" x14ac:dyDescent="0.2">
      <c r="A19" s="85"/>
      <c r="B19" s="56" t="s">
        <v>42</v>
      </c>
      <c r="C19" s="55"/>
      <c r="D19" s="57" t="s">
        <v>43</v>
      </c>
      <c r="E19" s="85"/>
      <c r="F19" s="85"/>
      <c r="G19" s="85"/>
      <c r="H19" s="85"/>
      <c r="I19" s="85"/>
      <c r="J19" s="85"/>
      <c r="K19" s="85"/>
      <c r="L19" s="85"/>
      <c r="M19" s="86"/>
      <c r="N19" s="87" t="s">
        <v>52</v>
      </c>
      <c r="O19" s="88"/>
      <c r="P19" s="88">
        <v>0</v>
      </c>
    </row>
    <row r="20" spans="1:16" ht="18" customHeight="1" thickBot="1" x14ac:dyDescent="0.25">
      <c r="A20" s="85"/>
      <c r="B20" s="56"/>
      <c r="C20" s="55"/>
      <c r="D20" s="57"/>
      <c r="E20" s="85"/>
      <c r="F20" s="85"/>
      <c r="G20" s="85"/>
      <c r="H20" s="85"/>
      <c r="I20" s="85"/>
      <c r="J20" s="85"/>
      <c r="K20" s="85"/>
      <c r="L20" s="85"/>
      <c r="M20" s="86"/>
      <c r="N20" s="89" t="s">
        <v>53</v>
      </c>
      <c r="O20" s="90"/>
      <c r="P20" s="90">
        <f>O18-P19</f>
        <v>1704724</v>
      </c>
    </row>
    <row r="21" spans="1:16" ht="18" customHeight="1" x14ac:dyDescent="0.2">
      <c r="A21" s="11"/>
      <c r="H21" s="63"/>
      <c r="N21" s="62" t="s">
        <v>31</v>
      </c>
      <c r="P21" s="69">
        <f>P20*1%</f>
        <v>17047.240000000002</v>
      </c>
    </row>
    <row r="22" spans="1:16" ht="18" customHeight="1" thickBot="1" x14ac:dyDescent="0.25">
      <c r="A22" s="11"/>
      <c r="H22" s="63"/>
      <c r="N22" s="62" t="s">
        <v>54</v>
      </c>
      <c r="P22" s="71">
        <f>P20*2%</f>
        <v>34094.480000000003</v>
      </c>
    </row>
    <row r="23" spans="1:16" ht="18" customHeight="1" x14ac:dyDescent="0.2">
      <c r="A23" s="11"/>
      <c r="H23" s="63"/>
      <c r="N23" s="66" t="s">
        <v>32</v>
      </c>
      <c r="O23" s="67"/>
      <c r="P23" s="70">
        <f>P20+P21-P22</f>
        <v>1687676.76</v>
      </c>
    </row>
    <row r="25" spans="1:16" x14ac:dyDescent="0.2">
      <c r="A25" s="11"/>
      <c r="H25" s="63"/>
      <c r="P25" s="71"/>
    </row>
    <row r="26" spans="1:16" x14ac:dyDescent="0.2">
      <c r="A26" s="11"/>
      <c r="H26" s="63"/>
      <c r="O26" s="58"/>
      <c r="P26" s="71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</sheetData>
  <mergeCells count="2">
    <mergeCell ref="A18:L18"/>
    <mergeCell ref="O18:P18"/>
  </mergeCells>
  <conditionalFormatting sqref="B3">
    <cfRule type="duplicateValues" dxfId="150" priority="2"/>
  </conditionalFormatting>
  <conditionalFormatting sqref="B4:B17">
    <cfRule type="duplicateValues" dxfId="149" priority="7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8" sqref="O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404002</v>
      </c>
      <c r="B3" s="73" t="s">
        <v>843</v>
      </c>
      <c r="C3" s="9" t="s">
        <v>844</v>
      </c>
      <c r="D3" s="75" t="s">
        <v>83</v>
      </c>
      <c r="E3" s="13" t="s">
        <v>845</v>
      </c>
      <c r="F3" s="75" t="s">
        <v>84</v>
      </c>
      <c r="G3" s="13">
        <v>44498</v>
      </c>
      <c r="H3" s="10" t="s">
        <v>816</v>
      </c>
      <c r="I3" s="1">
        <v>42</v>
      </c>
      <c r="J3" s="1">
        <v>34</v>
      </c>
      <c r="K3" s="1">
        <v>26</v>
      </c>
      <c r="L3" s="1">
        <v>6</v>
      </c>
      <c r="M3" s="79">
        <v>9.282</v>
      </c>
      <c r="N3" s="103">
        <v>9.282</v>
      </c>
      <c r="O3" s="64">
        <v>7000</v>
      </c>
      <c r="P3" s="65">
        <f>Table224578910112345678910111213141516171819202122232425262728293031323334353637383940414243444546474849[[#This Row],[PEMBULATAN]]*O3</f>
        <v>64974</v>
      </c>
    </row>
    <row r="4" spans="1:16" ht="26.25" customHeight="1" x14ac:dyDescent="0.2">
      <c r="A4" s="14"/>
      <c r="B4" s="74"/>
      <c r="C4" s="9" t="s">
        <v>846</v>
      </c>
      <c r="D4" s="75" t="s">
        <v>83</v>
      </c>
      <c r="E4" s="13" t="s">
        <v>845</v>
      </c>
      <c r="F4" s="75" t="s">
        <v>84</v>
      </c>
      <c r="G4" s="13">
        <v>44498</v>
      </c>
      <c r="H4" s="10" t="s">
        <v>816</v>
      </c>
      <c r="I4" s="1">
        <v>124</v>
      </c>
      <c r="J4" s="1">
        <v>43</v>
      </c>
      <c r="K4" s="1">
        <v>11</v>
      </c>
      <c r="L4" s="1">
        <v>8</v>
      </c>
      <c r="M4" s="79">
        <v>14.663</v>
      </c>
      <c r="N4" s="103">
        <v>14.663</v>
      </c>
      <c r="O4" s="64">
        <v>7000</v>
      </c>
      <c r="P4" s="65">
        <f>Table224578910112345678910111213141516171819202122232425262728293031323334353637383940414243444546474849[[#This Row],[PEMBULATAN]]*O4</f>
        <v>102641</v>
      </c>
    </row>
    <row r="5" spans="1:16" ht="26.25" customHeight="1" x14ac:dyDescent="0.2">
      <c r="A5" s="14"/>
      <c r="B5" s="74"/>
      <c r="C5" s="95" t="s">
        <v>847</v>
      </c>
      <c r="D5" s="96" t="s">
        <v>83</v>
      </c>
      <c r="E5" s="97" t="s">
        <v>845</v>
      </c>
      <c r="F5" s="98" t="s">
        <v>84</v>
      </c>
      <c r="G5" s="97">
        <v>44498</v>
      </c>
      <c r="H5" s="99" t="s">
        <v>816</v>
      </c>
      <c r="I5" s="100">
        <v>69</v>
      </c>
      <c r="J5" s="100">
        <v>33</v>
      </c>
      <c r="K5" s="100">
        <v>22</v>
      </c>
      <c r="L5" s="100">
        <v>10</v>
      </c>
      <c r="M5" s="101">
        <v>12.5235</v>
      </c>
      <c r="N5" s="107">
        <v>12.5235</v>
      </c>
      <c r="O5" s="64">
        <v>7000</v>
      </c>
      <c r="P5" s="65">
        <f>Table224578910112345678910111213141516171819202122232425262728293031323334353637383940414243444546474849[[#This Row],[PEMBULATAN]]*O5</f>
        <v>87664.5</v>
      </c>
    </row>
    <row r="6" spans="1:16" ht="26.25" customHeight="1" x14ac:dyDescent="0.2">
      <c r="A6" s="14"/>
      <c r="B6" s="74"/>
      <c r="C6" s="95" t="s">
        <v>848</v>
      </c>
      <c r="D6" s="96" t="s">
        <v>83</v>
      </c>
      <c r="E6" s="97" t="s">
        <v>845</v>
      </c>
      <c r="F6" s="98" t="s">
        <v>84</v>
      </c>
      <c r="G6" s="97">
        <v>44498</v>
      </c>
      <c r="H6" s="99" t="s">
        <v>816</v>
      </c>
      <c r="I6" s="100">
        <v>55</v>
      </c>
      <c r="J6" s="100">
        <v>43</v>
      </c>
      <c r="K6" s="100">
        <v>31</v>
      </c>
      <c r="L6" s="100">
        <v>13</v>
      </c>
      <c r="M6" s="101">
        <v>18.328749999999999</v>
      </c>
      <c r="N6" s="107">
        <v>18.328749999999999</v>
      </c>
      <c r="O6" s="64">
        <v>7000</v>
      </c>
      <c r="P6" s="65">
        <f>Table224578910112345678910111213141516171819202122232425262728293031323334353637383940414243444546474849[[#This Row],[PEMBULATAN]]*O6</f>
        <v>128301.25</v>
      </c>
    </row>
    <row r="7" spans="1:16" ht="22.5" customHeight="1" x14ac:dyDescent="0.2">
      <c r="A7" s="143" t="s">
        <v>30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5"/>
      <c r="M7" s="78">
        <f>SUBTOTAL(109,Table224578910112345678910111213141516171819202122232425262728293031323334353637383940414243444546474849[KG VOLUME])</f>
        <v>54.797249999999998</v>
      </c>
      <c r="N7" s="68">
        <f>SUM(N3:N6)</f>
        <v>54.797249999999998</v>
      </c>
      <c r="O7" s="146">
        <f>SUM(P3:P6)</f>
        <v>383580.75</v>
      </c>
      <c r="P7" s="147"/>
    </row>
    <row r="8" spans="1:16" ht="18" customHeight="1" x14ac:dyDescent="0.2">
      <c r="A8" s="85"/>
      <c r="B8" s="56" t="s">
        <v>42</v>
      </c>
      <c r="C8" s="55"/>
      <c r="D8" s="57" t="s">
        <v>43</v>
      </c>
      <c r="E8" s="85"/>
      <c r="F8" s="85"/>
      <c r="G8" s="85"/>
      <c r="H8" s="85"/>
      <c r="I8" s="85"/>
      <c r="J8" s="85"/>
      <c r="K8" s="85"/>
      <c r="L8" s="85"/>
      <c r="M8" s="86"/>
      <c r="N8" s="87" t="s">
        <v>52</v>
      </c>
      <c r="O8" s="88"/>
      <c r="P8" s="88">
        <v>0</v>
      </c>
    </row>
    <row r="9" spans="1:16" ht="18" customHeight="1" thickBot="1" x14ac:dyDescent="0.25">
      <c r="A9" s="85"/>
      <c r="B9" s="56"/>
      <c r="C9" s="55"/>
      <c r="D9" s="57"/>
      <c r="E9" s="85"/>
      <c r="F9" s="85"/>
      <c r="G9" s="85"/>
      <c r="H9" s="85"/>
      <c r="I9" s="85"/>
      <c r="J9" s="85"/>
      <c r="K9" s="85"/>
      <c r="L9" s="85"/>
      <c r="M9" s="86"/>
      <c r="N9" s="89" t="s">
        <v>53</v>
      </c>
      <c r="O9" s="90"/>
      <c r="P9" s="90">
        <f>O7-P8</f>
        <v>383580.75</v>
      </c>
    </row>
    <row r="10" spans="1:16" ht="18" customHeight="1" x14ac:dyDescent="0.2">
      <c r="A10" s="11"/>
      <c r="H10" s="63"/>
      <c r="N10" s="62" t="s">
        <v>31</v>
      </c>
      <c r="P10" s="69">
        <f>P9*1%</f>
        <v>3835.8074999999999</v>
      </c>
    </row>
    <row r="11" spans="1:16" ht="18" customHeight="1" thickBot="1" x14ac:dyDescent="0.25">
      <c r="A11" s="11"/>
      <c r="H11" s="63"/>
      <c r="N11" s="62" t="s">
        <v>54</v>
      </c>
      <c r="P11" s="71">
        <f>P9*2%</f>
        <v>7671.6149999999998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379744.9425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133" priority="2"/>
  </conditionalFormatting>
  <conditionalFormatting sqref="B4:B6">
    <cfRule type="duplicateValues" dxfId="132" priority="7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7"/>
  <sheetViews>
    <sheetView zoomScale="110" zoomScaleNormal="110" workbookViewId="0">
      <pane xSplit="3" ySplit="2" topLeftCell="D20" activePane="bottomRight" state="frozen"/>
      <selection pane="topRight" activeCell="B1" sqref="B1"/>
      <selection pane="bottomLeft" activeCell="A3" sqref="A3"/>
      <selection pane="bottomRight" activeCell="A3" sqref="A3:XFD26"/>
    </sheetView>
  </sheetViews>
  <sheetFormatPr defaultRowHeight="15" x14ac:dyDescent="0.2"/>
  <cols>
    <col min="1" max="1" width="8" style="4" customWidth="1"/>
    <col min="2" max="2" width="19.5703125" style="2" customWidth="1"/>
    <col min="3" max="3" width="16.1406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8.5" customHeight="1" x14ac:dyDescent="0.2">
      <c r="A3" s="112">
        <v>402440</v>
      </c>
      <c r="B3" s="113" t="s">
        <v>849</v>
      </c>
      <c r="C3" s="114" t="s">
        <v>850</v>
      </c>
      <c r="D3" s="115" t="s">
        <v>83</v>
      </c>
      <c r="E3" s="116" t="s">
        <v>845</v>
      </c>
      <c r="F3" s="115" t="s">
        <v>84</v>
      </c>
      <c r="G3" s="116">
        <v>44498</v>
      </c>
      <c r="H3" s="117" t="s">
        <v>816</v>
      </c>
      <c r="I3" s="116">
        <v>80</v>
      </c>
      <c r="J3" s="116">
        <v>31</v>
      </c>
      <c r="K3" s="116">
        <v>53</v>
      </c>
      <c r="L3" s="116">
        <v>23</v>
      </c>
      <c r="M3" s="116">
        <v>32.86</v>
      </c>
      <c r="N3" s="103">
        <v>32.86</v>
      </c>
      <c r="O3" s="64">
        <v>7000</v>
      </c>
      <c r="P3" s="65">
        <f>Table22457891011234567891011121314151617181920212223242526272829303132333435363738394041424344454647484950[[#This Row],[PEMBULATAN]]*O3</f>
        <v>230020</v>
      </c>
    </row>
    <row r="4" spans="1:16" ht="28.5" customHeight="1" x14ac:dyDescent="0.2">
      <c r="A4" s="118"/>
      <c r="B4" s="119"/>
      <c r="C4" s="114" t="s">
        <v>851</v>
      </c>
      <c r="D4" s="115" t="s">
        <v>83</v>
      </c>
      <c r="E4" s="116" t="s">
        <v>845</v>
      </c>
      <c r="F4" s="115" t="s">
        <v>84</v>
      </c>
      <c r="G4" s="116">
        <v>44498</v>
      </c>
      <c r="H4" s="117" t="s">
        <v>816</v>
      </c>
      <c r="I4" s="116">
        <v>71</v>
      </c>
      <c r="J4" s="116">
        <v>32</v>
      </c>
      <c r="K4" s="116">
        <v>42</v>
      </c>
      <c r="L4" s="116">
        <v>12</v>
      </c>
      <c r="M4" s="116">
        <v>23.856000000000002</v>
      </c>
      <c r="N4" s="103">
        <v>23.856000000000002</v>
      </c>
      <c r="O4" s="64">
        <v>7000</v>
      </c>
      <c r="P4" s="65">
        <f>Table22457891011234567891011121314151617181920212223242526272829303132333435363738394041424344454647484950[[#This Row],[PEMBULATAN]]*O4</f>
        <v>166992</v>
      </c>
    </row>
    <row r="5" spans="1:16" ht="28.5" customHeight="1" x14ac:dyDescent="0.2">
      <c r="A5" s="118"/>
      <c r="B5" s="119"/>
      <c r="C5" s="120" t="s">
        <v>852</v>
      </c>
      <c r="D5" s="121" t="s">
        <v>83</v>
      </c>
      <c r="E5" s="122" t="s">
        <v>845</v>
      </c>
      <c r="F5" s="123" t="s">
        <v>84</v>
      </c>
      <c r="G5" s="122">
        <v>44498</v>
      </c>
      <c r="H5" s="124" t="s">
        <v>816</v>
      </c>
      <c r="I5" s="125">
        <v>47</v>
      </c>
      <c r="J5" s="125">
        <v>36</v>
      </c>
      <c r="K5" s="125">
        <v>32</v>
      </c>
      <c r="L5" s="125">
        <v>8</v>
      </c>
      <c r="M5" s="125">
        <v>13.536</v>
      </c>
      <c r="N5" s="107">
        <v>13.536</v>
      </c>
      <c r="O5" s="64">
        <v>7000</v>
      </c>
      <c r="P5" s="65">
        <f>Table22457891011234567891011121314151617181920212223242526272829303132333435363738394041424344454647484950[[#This Row],[PEMBULATAN]]*O5</f>
        <v>94752</v>
      </c>
    </row>
    <row r="6" spans="1:16" ht="28.5" customHeight="1" x14ac:dyDescent="0.2">
      <c r="A6" s="118"/>
      <c r="B6" s="119"/>
      <c r="C6" s="120" t="s">
        <v>853</v>
      </c>
      <c r="D6" s="121" t="s">
        <v>83</v>
      </c>
      <c r="E6" s="122" t="s">
        <v>845</v>
      </c>
      <c r="F6" s="123" t="s">
        <v>84</v>
      </c>
      <c r="G6" s="122">
        <v>44498</v>
      </c>
      <c r="H6" s="124" t="s">
        <v>816</v>
      </c>
      <c r="I6" s="125">
        <v>55</v>
      </c>
      <c r="J6" s="125">
        <v>42</v>
      </c>
      <c r="K6" s="125">
        <v>44</v>
      </c>
      <c r="L6" s="125">
        <v>35</v>
      </c>
      <c r="M6" s="125">
        <v>25.41</v>
      </c>
      <c r="N6" s="107">
        <v>35</v>
      </c>
      <c r="O6" s="64">
        <v>7000</v>
      </c>
      <c r="P6" s="65">
        <f>Table22457891011234567891011121314151617181920212223242526272829303132333435363738394041424344454647484950[[#This Row],[PEMBULATAN]]*O6</f>
        <v>245000</v>
      </c>
    </row>
    <row r="7" spans="1:16" ht="28.5" customHeight="1" x14ac:dyDescent="0.2">
      <c r="A7" s="118"/>
      <c r="B7" s="119"/>
      <c r="C7" s="120" t="s">
        <v>854</v>
      </c>
      <c r="D7" s="121" t="s">
        <v>83</v>
      </c>
      <c r="E7" s="122" t="s">
        <v>845</v>
      </c>
      <c r="F7" s="123" t="s">
        <v>84</v>
      </c>
      <c r="G7" s="122">
        <v>44498</v>
      </c>
      <c r="H7" s="124" t="s">
        <v>816</v>
      </c>
      <c r="I7" s="125">
        <v>46</v>
      </c>
      <c r="J7" s="125">
        <v>31</v>
      </c>
      <c r="K7" s="125">
        <v>26</v>
      </c>
      <c r="L7" s="125">
        <v>6</v>
      </c>
      <c r="M7" s="125">
        <v>9.2690000000000001</v>
      </c>
      <c r="N7" s="107">
        <v>9.2690000000000001</v>
      </c>
      <c r="O7" s="64">
        <v>7000</v>
      </c>
      <c r="P7" s="65">
        <f>Table22457891011234567891011121314151617181920212223242526272829303132333435363738394041424344454647484950[[#This Row],[PEMBULATAN]]*O7</f>
        <v>64883</v>
      </c>
    </row>
    <row r="8" spans="1:16" ht="28.5" customHeight="1" x14ac:dyDescent="0.2">
      <c r="A8" s="118"/>
      <c r="B8" s="119"/>
      <c r="C8" s="120" t="s">
        <v>855</v>
      </c>
      <c r="D8" s="121" t="s">
        <v>83</v>
      </c>
      <c r="E8" s="122" t="s">
        <v>845</v>
      </c>
      <c r="F8" s="123" t="s">
        <v>84</v>
      </c>
      <c r="G8" s="122">
        <v>44498</v>
      </c>
      <c r="H8" s="124" t="s">
        <v>816</v>
      </c>
      <c r="I8" s="125">
        <v>44</v>
      </c>
      <c r="J8" s="125">
        <v>44</v>
      </c>
      <c r="K8" s="125">
        <v>22</v>
      </c>
      <c r="L8" s="125">
        <v>12</v>
      </c>
      <c r="M8" s="125">
        <v>10.648</v>
      </c>
      <c r="N8" s="107">
        <v>12</v>
      </c>
      <c r="O8" s="64">
        <v>7000</v>
      </c>
      <c r="P8" s="65">
        <f>Table22457891011234567891011121314151617181920212223242526272829303132333435363738394041424344454647484950[[#This Row],[PEMBULATAN]]*O8</f>
        <v>84000</v>
      </c>
    </row>
    <row r="9" spans="1:16" ht="28.5" customHeight="1" x14ac:dyDescent="0.2">
      <c r="A9" s="118"/>
      <c r="B9" s="119"/>
      <c r="C9" s="120" t="s">
        <v>856</v>
      </c>
      <c r="D9" s="121" t="s">
        <v>83</v>
      </c>
      <c r="E9" s="122" t="s">
        <v>845</v>
      </c>
      <c r="F9" s="123" t="s">
        <v>84</v>
      </c>
      <c r="G9" s="122">
        <v>44498</v>
      </c>
      <c r="H9" s="124" t="s">
        <v>816</v>
      </c>
      <c r="I9" s="125">
        <v>27</v>
      </c>
      <c r="J9" s="125">
        <v>24</v>
      </c>
      <c r="K9" s="125">
        <v>35</v>
      </c>
      <c r="L9" s="125">
        <v>11</v>
      </c>
      <c r="M9" s="125">
        <v>5.67</v>
      </c>
      <c r="N9" s="107">
        <v>11</v>
      </c>
      <c r="O9" s="64">
        <v>7000</v>
      </c>
      <c r="P9" s="65">
        <f>Table22457891011234567891011121314151617181920212223242526272829303132333435363738394041424344454647484950[[#This Row],[PEMBULATAN]]*O9</f>
        <v>77000</v>
      </c>
    </row>
    <row r="10" spans="1:16" ht="28.5" customHeight="1" x14ac:dyDescent="0.2">
      <c r="A10" s="118"/>
      <c r="B10" s="119"/>
      <c r="C10" s="120" t="s">
        <v>857</v>
      </c>
      <c r="D10" s="121" t="s">
        <v>83</v>
      </c>
      <c r="E10" s="122" t="s">
        <v>845</v>
      </c>
      <c r="F10" s="123" t="s">
        <v>84</v>
      </c>
      <c r="G10" s="122">
        <v>44498</v>
      </c>
      <c r="H10" s="124" t="s">
        <v>816</v>
      </c>
      <c r="I10" s="125">
        <v>37</v>
      </c>
      <c r="J10" s="125">
        <v>36</v>
      </c>
      <c r="K10" s="125">
        <v>22</v>
      </c>
      <c r="L10" s="125">
        <v>8</v>
      </c>
      <c r="M10" s="125">
        <v>7.3259999999999996</v>
      </c>
      <c r="N10" s="107">
        <v>8</v>
      </c>
      <c r="O10" s="64">
        <v>7000</v>
      </c>
      <c r="P10" s="65">
        <f>Table22457891011234567891011121314151617181920212223242526272829303132333435363738394041424344454647484950[[#This Row],[PEMBULATAN]]*O10</f>
        <v>56000</v>
      </c>
    </row>
    <row r="11" spans="1:16" ht="28.5" customHeight="1" x14ac:dyDescent="0.2">
      <c r="A11" s="118"/>
      <c r="B11" s="119"/>
      <c r="C11" s="120" t="s">
        <v>858</v>
      </c>
      <c r="D11" s="121" t="s">
        <v>83</v>
      </c>
      <c r="E11" s="122" t="s">
        <v>845</v>
      </c>
      <c r="F11" s="123" t="s">
        <v>84</v>
      </c>
      <c r="G11" s="122">
        <v>44498</v>
      </c>
      <c r="H11" s="124" t="s">
        <v>816</v>
      </c>
      <c r="I11" s="125">
        <v>44</v>
      </c>
      <c r="J11" s="125">
        <v>42</v>
      </c>
      <c r="K11" s="125">
        <v>32</v>
      </c>
      <c r="L11" s="125">
        <v>36</v>
      </c>
      <c r="M11" s="125">
        <v>14.784000000000001</v>
      </c>
      <c r="N11" s="107">
        <v>36</v>
      </c>
      <c r="O11" s="64">
        <v>7000</v>
      </c>
      <c r="P11" s="65">
        <f>Table22457891011234567891011121314151617181920212223242526272829303132333435363738394041424344454647484950[[#This Row],[PEMBULATAN]]*O11</f>
        <v>252000</v>
      </c>
    </row>
    <row r="12" spans="1:16" ht="28.5" customHeight="1" x14ac:dyDescent="0.2">
      <c r="A12" s="118"/>
      <c r="B12" s="119"/>
      <c r="C12" s="120" t="s">
        <v>859</v>
      </c>
      <c r="D12" s="121" t="s">
        <v>83</v>
      </c>
      <c r="E12" s="122" t="s">
        <v>845</v>
      </c>
      <c r="F12" s="123" t="s">
        <v>84</v>
      </c>
      <c r="G12" s="122">
        <v>44498</v>
      </c>
      <c r="H12" s="124" t="s">
        <v>816</v>
      </c>
      <c r="I12" s="125">
        <v>206</v>
      </c>
      <c r="J12" s="125">
        <v>20</v>
      </c>
      <c r="K12" s="125">
        <v>20</v>
      </c>
      <c r="L12" s="125">
        <v>43</v>
      </c>
      <c r="M12" s="125">
        <v>20.6</v>
      </c>
      <c r="N12" s="107">
        <v>43</v>
      </c>
      <c r="O12" s="64">
        <v>7000</v>
      </c>
      <c r="P12" s="65">
        <f>Table22457891011234567891011121314151617181920212223242526272829303132333435363738394041424344454647484950[[#This Row],[PEMBULATAN]]*O12</f>
        <v>301000</v>
      </c>
    </row>
    <row r="13" spans="1:16" ht="28.5" customHeight="1" x14ac:dyDescent="0.2">
      <c r="A13" s="118"/>
      <c r="B13" s="119"/>
      <c r="C13" s="120" t="s">
        <v>860</v>
      </c>
      <c r="D13" s="121" t="s">
        <v>83</v>
      </c>
      <c r="E13" s="122" t="s">
        <v>845</v>
      </c>
      <c r="F13" s="123" t="s">
        <v>84</v>
      </c>
      <c r="G13" s="122">
        <v>44498</v>
      </c>
      <c r="H13" s="124" t="s">
        <v>816</v>
      </c>
      <c r="I13" s="125">
        <v>136</v>
      </c>
      <c r="J13" s="125">
        <v>28</v>
      </c>
      <c r="K13" s="125">
        <v>10</v>
      </c>
      <c r="L13" s="125">
        <v>10</v>
      </c>
      <c r="M13" s="125">
        <v>9.52</v>
      </c>
      <c r="N13" s="107">
        <v>10</v>
      </c>
      <c r="O13" s="64">
        <v>7000</v>
      </c>
      <c r="P13" s="65">
        <f>Table22457891011234567891011121314151617181920212223242526272829303132333435363738394041424344454647484950[[#This Row],[PEMBULATAN]]*O13</f>
        <v>70000</v>
      </c>
    </row>
    <row r="14" spans="1:16" ht="28.5" customHeight="1" x14ac:dyDescent="0.2">
      <c r="A14" s="118"/>
      <c r="B14" s="119"/>
      <c r="C14" s="120" t="s">
        <v>861</v>
      </c>
      <c r="D14" s="121" t="s">
        <v>83</v>
      </c>
      <c r="E14" s="122" t="s">
        <v>845</v>
      </c>
      <c r="F14" s="123" t="s">
        <v>84</v>
      </c>
      <c r="G14" s="122">
        <v>44498</v>
      </c>
      <c r="H14" s="124" t="s">
        <v>816</v>
      </c>
      <c r="I14" s="125">
        <v>72</v>
      </c>
      <c r="J14" s="125">
        <v>40</v>
      </c>
      <c r="K14" s="125">
        <v>38</v>
      </c>
      <c r="L14" s="125">
        <v>15</v>
      </c>
      <c r="M14" s="125">
        <v>27.36</v>
      </c>
      <c r="N14" s="107">
        <v>27.36</v>
      </c>
      <c r="O14" s="64">
        <v>7000</v>
      </c>
      <c r="P14" s="65">
        <f>Table22457891011234567891011121314151617181920212223242526272829303132333435363738394041424344454647484950[[#This Row],[PEMBULATAN]]*O14</f>
        <v>191520</v>
      </c>
    </row>
    <row r="15" spans="1:16" ht="28.5" customHeight="1" x14ac:dyDescent="0.2">
      <c r="A15" s="118"/>
      <c r="B15" s="119"/>
      <c r="C15" s="120" t="s">
        <v>862</v>
      </c>
      <c r="D15" s="121" t="s">
        <v>83</v>
      </c>
      <c r="E15" s="122" t="s">
        <v>845</v>
      </c>
      <c r="F15" s="123" t="s">
        <v>84</v>
      </c>
      <c r="G15" s="122">
        <v>44498</v>
      </c>
      <c r="H15" s="124" t="s">
        <v>816</v>
      </c>
      <c r="I15" s="125">
        <v>31</v>
      </c>
      <c r="J15" s="125">
        <v>31</v>
      </c>
      <c r="K15" s="125">
        <v>31</v>
      </c>
      <c r="L15" s="125">
        <v>2</v>
      </c>
      <c r="M15" s="125">
        <v>7.4477500000000001</v>
      </c>
      <c r="N15" s="107">
        <v>7.4477500000000001</v>
      </c>
      <c r="O15" s="64">
        <v>7000</v>
      </c>
      <c r="P15" s="65">
        <f>Table22457891011234567891011121314151617181920212223242526272829303132333435363738394041424344454647484950[[#This Row],[PEMBULATAN]]*O15</f>
        <v>52134.25</v>
      </c>
    </row>
    <row r="16" spans="1:16" ht="28.5" customHeight="1" x14ac:dyDescent="0.2">
      <c r="A16" s="118"/>
      <c r="B16" s="119"/>
      <c r="C16" s="120" t="s">
        <v>863</v>
      </c>
      <c r="D16" s="121" t="s">
        <v>83</v>
      </c>
      <c r="E16" s="122" t="s">
        <v>845</v>
      </c>
      <c r="F16" s="123" t="s">
        <v>84</v>
      </c>
      <c r="G16" s="122">
        <v>44498</v>
      </c>
      <c r="H16" s="124" t="s">
        <v>816</v>
      </c>
      <c r="I16" s="125">
        <v>43</v>
      </c>
      <c r="J16" s="125">
        <v>51</v>
      </c>
      <c r="K16" s="125">
        <v>33</v>
      </c>
      <c r="L16" s="125">
        <v>9</v>
      </c>
      <c r="M16" s="125">
        <v>18.09225</v>
      </c>
      <c r="N16" s="107">
        <v>18.09225</v>
      </c>
      <c r="O16" s="64">
        <v>7000</v>
      </c>
      <c r="P16" s="65">
        <f>Table22457891011234567891011121314151617181920212223242526272829303132333435363738394041424344454647484950[[#This Row],[PEMBULATAN]]*O16</f>
        <v>126645.75</v>
      </c>
    </row>
    <row r="17" spans="1:16" ht="28.5" customHeight="1" x14ac:dyDescent="0.2">
      <c r="A17" s="118"/>
      <c r="B17" s="119"/>
      <c r="C17" s="120" t="s">
        <v>864</v>
      </c>
      <c r="D17" s="121" t="s">
        <v>83</v>
      </c>
      <c r="E17" s="122" t="s">
        <v>845</v>
      </c>
      <c r="F17" s="123" t="s">
        <v>84</v>
      </c>
      <c r="G17" s="122">
        <v>44498</v>
      </c>
      <c r="H17" s="124" t="s">
        <v>816</v>
      </c>
      <c r="I17" s="125">
        <v>30</v>
      </c>
      <c r="J17" s="125">
        <v>28</v>
      </c>
      <c r="K17" s="125">
        <v>15</v>
      </c>
      <c r="L17" s="125">
        <v>11</v>
      </c>
      <c r="M17" s="125">
        <v>3.15</v>
      </c>
      <c r="N17" s="107">
        <v>11</v>
      </c>
      <c r="O17" s="64">
        <v>7000</v>
      </c>
      <c r="P17" s="65">
        <f>Table22457891011234567891011121314151617181920212223242526272829303132333435363738394041424344454647484950[[#This Row],[PEMBULATAN]]*O17</f>
        <v>77000</v>
      </c>
    </row>
    <row r="18" spans="1:16" ht="28.5" customHeight="1" x14ac:dyDescent="0.2">
      <c r="A18" s="118"/>
      <c r="B18" s="126"/>
      <c r="C18" s="120" t="s">
        <v>865</v>
      </c>
      <c r="D18" s="121" t="s">
        <v>83</v>
      </c>
      <c r="E18" s="122" t="s">
        <v>845</v>
      </c>
      <c r="F18" s="123" t="s">
        <v>84</v>
      </c>
      <c r="G18" s="122">
        <v>44498</v>
      </c>
      <c r="H18" s="124" t="s">
        <v>816</v>
      </c>
      <c r="I18" s="125">
        <v>54</v>
      </c>
      <c r="J18" s="125">
        <v>30</v>
      </c>
      <c r="K18" s="125">
        <v>7</v>
      </c>
      <c r="L18" s="125">
        <v>5</v>
      </c>
      <c r="M18" s="125">
        <v>2.835</v>
      </c>
      <c r="N18" s="107">
        <v>5</v>
      </c>
      <c r="O18" s="64">
        <v>7000</v>
      </c>
      <c r="P18" s="65">
        <f>Table22457891011234567891011121314151617181920212223242526272829303132333435363738394041424344454647484950[[#This Row],[PEMBULATAN]]*O18</f>
        <v>35000</v>
      </c>
    </row>
    <row r="19" spans="1:16" ht="28.5" customHeight="1" x14ac:dyDescent="0.2">
      <c r="A19" s="118"/>
      <c r="B19" s="119" t="s">
        <v>866</v>
      </c>
      <c r="C19" s="120" t="s">
        <v>867</v>
      </c>
      <c r="D19" s="121" t="s">
        <v>83</v>
      </c>
      <c r="E19" s="122" t="s">
        <v>845</v>
      </c>
      <c r="F19" s="123" t="s">
        <v>84</v>
      </c>
      <c r="G19" s="122">
        <v>44498</v>
      </c>
      <c r="H19" s="124" t="s">
        <v>816</v>
      </c>
      <c r="I19" s="125">
        <v>44</v>
      </c>
      <c r="J19" s="125">
        <v>36</v>
      </c>
      <c r="K19" s="125">
        <v>44</v>
      </c>
      <c r="L19" s="125">
        <v>12</v>
      </c>
      <c r="M19" s="125">
        <v>17.423999999999999</v>
      </c>
      <c r="N19" s="107">
        <v>17.423999999999999</v>
      </c>
      <c r="O19" s="64">
        <v>7000</v>
      </c>
      <c r="P19" s="65">
        <f>Table22457891011234567891011121314151617181920212223242526272829303132333435363738394041424344454647484950[[#This Row],[PEMBULATAN]]*O19</f>
        <v>121968</v>
      </c>
    </row>
    <row r="20" spans="1:16" ht="28.5" customHeight="1" x14ac:dyDescent="0.2">
      <c r="A20" s="118"/>
      <c r="B20" s="126"/>
      <c r="C20" s="120" t="s">
        <v>868</v>
      </c>
      <c r="D20" s="121" t="s">
        <v>83</v>
      </c>
      <c r="E20" s="122" t="s">
        <v>845</v>
      </c>
      <c r="F20" s="123" t="s">
        <v>84</v>
      </c>
      <c r="G20" s="122">
        <v>44498</v>
      </c>
      <c r="H20" s="124" t="s">
        <v>816</v>
      </c>
      <c r="I20" s="125">
        <v>50</v>
      </c>
      <c r="J20" s="125">
        <v>30</v>
      </c>
      <c r="K20" s="125">
        <v>21</v>
      </c>
      <c r="L20" s="125">
        <v>5</v>
      </c>
      <c r="M20" s="125">
        <v>7.875</v>
      </c>
      <c r="N20" s="107">
        <v>7.875</v>
      </c>
      <c r="O20" s="64">
        <v>7000</v>
      </c>
      <c r="P20" s="65">
        <f>Table22457891011234567891011121314151617181920212223242526272829303132333435363738394041424344454647484950[[#This Row],[PEMBULATAN]]*O20</f>
        <v>55125</v>
      </c>
    </row>
    <row r="21" spans="1:16" ht="28.5" customHeight="1" x14ac:dyDescent="0.2">
      <c r="A21" s="118"/>
      <c r="B21" s="119" t="s">
        <v>869</v>
      </c>
      <c r="C21" s="120" t="s">
        <v>870</v>
      </c>
      <c r="D21" s="121" t="s">
        <v>83</v>
      </c>
      <c r="E21" s="122" t="s">
        <v>845</v>
      </c>
      <c r="F21" s="123" t="s">
        <v>84</v>
      </c>
      <c r="G21" s="122">
        <v>44498</v>
      </c>
      <c r="H21" s="124" t="s">
        <v>816</v>
      </c>
      <c r="I21" s="125">
        <v>32</v>
      </c>
      <c r="J21" s="125">
        <v>22</v>
      </c>
      <c r="K21" s="125">
        <v>18</v>
      </c>
      <c r="L21" s="125">
        <v>8</v>
      </c>
      <c r="M21" s="125">
        <v>3.1680000000000001</v>
      </c>
      <c r="N21" s="107">
        <v>8</v>
      </c>
      <c r="O21" s="64">
        <v>7000</v>
      </c>
      <c r="P21" s="65">
        <f>Table22457891011234567891011121314151617181920212223242526272829303132333435363738394041424344454647484950[[#This Row],[PEMBULATAN]]*O21</f>
        <v>56000</v>
      </c>
    </row>
    <row r="22" spans="1:16" ht="28.5" customHeight="1" x14ac:dyDescent="0.2">
      <c r="A22" s="118"/>
      <c r="B22" s="119"/>
      <c r="C22" s="120" t="s">
        <v>871</v>
      </c>
      <c r="D22" s="121" t="s">
        <v>83</v>
      </c>
      <c r="E22" s="122" t="s">
        <v>845</v>
      </c>
      <c r="F22" s="123" t="s">
        <v>84</v>
      </c>
      <c r="G22" s="122">
        <v>44498</v>
      </c>
      <c r="H22" s="124" t="s">
        <v>816</v>
      </c>
      <c r="I22" s="125">
        <v>32</v>
      </c>
      <c r="J22" s="125">
        <v>22</v>
      </c>
      <c r="K22" s="125">
        <v>18</v>
      </c>
      <c r="L22" s="125">
        <v>8</v>
      </c>
      <c r="M22" s="125">
        <v>3.1680000000000001</v>
      </c>
      <c r="N22" s="107">
        <v>8</v>
      </c>
      <c r="O22" s="64">
        <v>7000</v>
      </c>
      <c r="P22" s="65">
        <f>Table22457891011234567891011121314151617181920212223242526272829303132333435363738394041424344454647484950[[#This Row],[PEMBULATAN]]*O22</f>
        <v>56000</v>
      </c>
    </row>
    <row r="23" spans="1:16" ht="28.5" customHeight="1" x14ac:dyDescent="0.2">
      <c r="A23" s="118"/>
      <c r="B23" s="119"/>
      <c r="C23" s="120" t="s">
        <v>872</v>
      </c>
      <c r="D23" s="121" t="s">
        <v>83</v>
      </c>
      <c r="E23" s="122" t="s">
        <v>845</v>
      </c>
      <c r="F23" s="123" t="s">
        <v>84</v>
      </c>
      <c r="G23" s="122">
        <v>44498</v>
      </c>
      <c r="H23" s="124" t="s">
        <v>816</v>
      </c>
      <c r="I23" s="125">
        <v>32</v>
      </c>
      <c r="J23" s="125">
        <v>22</v>
      </c>
      <c r="K23" s="125">
        <v>18</v>
      </c>
      <c r="L23" s="125">
        <v>8</v>
      </c>
      <c r="M23" s="125">
        <v>3.1680000000000001</v>
      </c>
      <c r="N23" s="107">
        <v>8</v>
      </c>
      <c r="O23" s="64">
        <v>7000</v>
      </c>
      <c r="P23" s="65">
        <f>Table22457891011234567891011121314151617181920212223242526272829303132333435363738394041424344454647484950[[#This Row],[PEMBULATAN]]*O23</f>
        <v>56000</v>
      </c>
    </row>
    <row r="24" spans="1:16" ht="28.5" customHeight="1" x14ac:dyDescent="0.2">
      <c r="A24" s="118"/>
      <c r="B24" s="119"/>
      <c r="C24" s="120" t="s">
        <v>873</v>
      </c>
      <c r="D24" s="121" t="s">
        <v>83</v>
      </c>
      <c r="E24" s="122" t="s">
        <v>845</v>
      </c>
      <c r="F24" s="123" t="s">
        <v>84</v>
      </c>
      <c r="G24" s="122">
        <v>44498</v>
      </c>
      <c r="H24" s="124" t="s">
        <v>816</v>
      </c>
      <c r="I24" s="125">
        <v>32</v>
      </c>
      <c r="J24" s="125">
        <v>22</v>
      </c>
      <c r="K24" s="125">
        <v>18</v>
      </c>
      <c r="L24" s="125">
        <v>8</v>
      </c>
      <c r="M24" s="125">
        <v>3.1680000000000001</v>
      </c>
      <c r="N24" s="107">
        <v>8</v>
      </c>
      <c r="O24" s="64">
        <v>7000</v>
      </c>
      <c r="P24" s="65">
        <f>Table22457891011234567891011121314151617181920212223242526272829303132333435363738394041424344454647484950[[#This Row],[PEMBULATAN]]*O24</f>
        <v>56000</v>
      </c>
    </row>
    <row r="25" spans="1:16" ht="28.5" customHeight="1" x14ac:dyDescent="0.2">
      <c r="A25" s="118"/>
      <c r="B25" s="119"/>
      <c r="C25" s="120" t="s">
        <v>874</v>
      </c>
      <c r="D25" s="121" t="s">
        <v>83</v>
      </c>
      <c r="E25" s="122" t="s">
        <v>845</v>
      </c>
      <c r="F25" s="123" t="s">
        <v>84</v>
      </c>
      <c r="G25" s="122">
        <v>44498</v>
      </c>
      <c r="H25" s="124" t="s">
        <v>816</v>
      </c>
      <c r="I25" s="125">
        <v>38</v>
      </c>
      <c r="J25" s="125">
        <v>22</v>
      </c>
      <c r="K25" s="125">
        <v>20</v>
      </c>
      <c r="L25" s="125">
        <v>9</v>
      </c>
      <c r="M25" s="125">
        <v>4.18</v>
      </c>
      <c r="N25" s="107">
        <v>9</v>
      </c>
      <c r="O25" s="64">
        <v>7000</v>
      </c>
      <c r="P25" s="65">
        <f>Table22457891011234567891011121314151617181920212223242526272829303132333435363738394041424344454647484950[[#This Row],[PEMBULATAN]]*O25</f>
        <v>63000</v>
      </c>
    </row>
    <row r="26" spans="1:16" ht="28.5" customHeight="1" x14ac:dyDescent="0.2">
      <c r="A26" s="118"/>
      <c r="B26" s="119"/>
      <c r="C26" s="120" t="s">
        <v>875</v>
      </c>
      <c r="D26" s="121" t="s">
        <v>83</v>
      </c>
      <c r="E26" s="122" t="s">
        <v>845</v>
      </c>
      <c r="F26" s="123" t="s">
        <v>84</v>
      </c>
      <c r="G26" s="122">
        <v>44498</v>
      </c>
      <c r="H26" s="124" t="s">
        <v>816</v>
      </c>
      <c r="I26" s="125">
        <v>38</v>
      </c>
      <c r="J26" s="125">
        <v>14</v>
      </c>
      <c r="K26" s="125">
        <v>14</v>
      </c>
      <c r="L26" s="125">
        <v>7</v>
      </c>
      <c r="M26" s="125">
        <v>1.8620000000000001</v>
      </c>
      <c r="N26" s="107">
        <v>7</v>
      </c>
      <c r="O26" s="64">
        <v>7000</v>
      </c>
      <c r="P26" s="65">
        <f>Table22457891011234567891011121314151617181920212223242526272829303132333435363738394041424344454647484950[[#This Row],[PEMBULATAN]]*O26</f>
        <v>49000</v>
      </c>
    </row>
    <row r="27" spans="1:16" ht="22.5" customHeight="1" x14ac:dyDescent="0.2">
      <c r="A27" s="143" t="s">
        <v>30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5"/>
      <c r="M27" s="78">
        <f>SUBTOTAL(109,Table22457891011234567891011121314151617181920212223242526272829303132333435363738394041424344454647484950[KG VOLUME])</f>
        <v>276.37700000000007</v>
      </c>
      <c r="N27" s="68">
        <f>SUM(N3:N26)</f>
        <v>376.71999999999997</v>
      </c>
      <c r="O27" s="146">
        <f>SUM(P3:P26)</f>
        <v>2637040</v>
      </c>
      <c r="P27" s="147"/>
    </row>
    <row r="28" spans="1:16" ht="18" customHeight="1" x14ac:dyDescent="0.2">
      <c r="A28" s="85"/>
      <c r="B28" s="56" t="s">
        <v>42</v>
      </c>
      <c r="C28" s="55"/>
      <c r="D28" s="57" t="s">
        <v>43</v>
      </c>
      <c r="E28" s="85"/>
      <c r="F28" s="85"/>
      <c r="G28" s="85"/>
      <c r="H28" s="85"/>
      <c r="I28" s="85"/>
      <c r="J28" s="85"/>
      <c r="K28" s="85"/>
      <c r="L28" s="85"/>
      <c r="M28" s="86"/>
      <c r="N28" s="87" t="s">
        <v>52</v>
      </c>
      <c r="O28" s="88"/>
      <c r="P28" s="88">
        <v>0</v>
      </c>
    </row>
    <row r="29" spans="1:16" ht="18" customHeight="1" thickBot="1" x14ac:dyDescent="0.25">
      <c r="A29" s="85"/>
      <c r="B29" s="56"/>
      <c r="C29" s="55"/>
      <c r="D29" s="57"/>
      <c r="E29" s="85"/>
      <c r="F29" s="85"/>
      <c r="G29" s="85"/>
      <c r="H29" s="85"/>
      <c r="I29" s="85"/>
      <c r="J29" s="85"/>
      <c r="K29" s="85"/>
      <c r="L29" s="85"/>
      <c r="M29" s="86"/>
      <c r="N29" s="89" t="s">
        <v>53</v>
      </c>
      <c r="O29" s="90"/>
      <c r="P29" s="90">
        <f>O27-P28</f>
        <v>2637040</v>
      </c>
    </row>
    <row r="30" spans="1:16" ht="18" customHeight="1" x14ac:dyDescent="0.2">
      <c r="A30" s="11"/>
      <c r="H30" s="63"/>
      <c r="N30" s="62" t="s">
        <v>31</v>
      </c>
      <c r="P30" s="69">
        <f>P29*1%</f>
        <v>26370.400000000001</v>
      </c>
    </row>
    <row r="31" spans="1:16" ht="18" customHeight="1" thickBot="1" x14ac:dyDescent="0.25">
      <c r="A31" s="11"/>
      <c r="H31" s="63"/>
      <c r="N31" s="62" t="s">
        <v>54</v>
      </c>
      <c r="P31" s="71">
        <f>P29*2%</f>
        <v>52740.800000000003</v>
      </c>
    </row>
    <row r="32" spans="1:16" ht="18" customHeight="1" x14ac:dyDescent="0.2">
      <c r="A32" s="11"/>
      <c r="H32" s="63"/>
      <c r="N32" s="66" t="s">
        <v>32</v>
      </c>
      <c r="O32" s="67"/>
      <c r="P32" s="70">
        <f>P29+P30-P31</f>
        <v>2610669.6</v>
      </c>
    </row>
    <row r="34" spans="1:16" x14ac:dyDescent="0.2">
      <c r="A34" s="11"/>
      <c r="H34" s="63"/>
      <c r="P34" s="71"/>
    </row>
    <row r="35" spans="1:16" x14ac:dyDescent="0.2">
      <c r="A35" s="11"/>
      <c r="H35" s="63"/>
      <c r="O35" s="58"/>
      <c r="P35" s="71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</sheetData>
  <mergeCells count="2">
    <mergeCell ref="A27:L27"/>
    <mergeCell ref="O27:P27"/>
  </mergeCells>
  <conditionalFormatting sqref="B3">
    <cfRule type="duplicateValues" dxfId="116" priority="2"/>
  </conditionalFormatting>
  <conditionalFormatting sqref="B4:B26">
    <cfRule type="duplicateValues" dxfId="115" priority="7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1"/>
  <sheetViews>
    <sheetView zoomScale="110" zoomScaleNormal="110" workbookViewId="0">
      <pane xSplit="3" ySplit="2" topLeftCell="D15" activePane="bottomRight" state="frozen"/>
      <selection pane="topRight" activeCell="B1" sqref="B1"/>
      <selection pane="bottomLeft" activeCell="A3" sqref="A3"/>
      <selection pane="bottomRight" activeCell="N21" sqref="N2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402162</v>
      </c>
      <c r="B3" s="73" t="s">
        <v>125</v>
      </c>
      <c r="C3" s="9" t="s">
        <v>126</v>
      </c>
      <c r="D3" s="75" t="s">
        <v>83</v>
      </c>
      <c r="E3" s="13" t="s">
        <v>127</v>
      </c>
      <c r="F3" s="75" t="s">
        <v>119</v>
      </c>
      <c r="G3" s="13">
        <v>44474.625</v>
      </c>
      <c r="H3" s="10" t="s">
        <v>120</v>
      </c>
      <c r="I3" s="1">
        <v>55</v>
      </c>
      <c r="J3" s="1">
        <v>35</v>
      </c>
      <c r="K3" s="1">
        <v>26</v>
      </c>
      <c r="L3" s="1">
        <v>9</v>
      </c>
      <c r="M3" s="79">
        <v>12.512499999999999</v>
      </c>
      <c r="N3" s="103">
        <v>12.512499999999999</v>
      </c>
      <c r="O3" s="64">
        <v>7000</v>
      </c>
      <c r="P3" s="65">
        <f>Table224578910112345[[#This Row],[PEMBULATAN]]*O3</f>
        <v>87587.5</v>
      </c>
    </row>
    <row r="4" spans="1:16" ht="26.25" customHeight="1" x14ac:dyDescent="0.2">
      <c r="A4" s="14"/>
      <c r="B4" s="74"/>
      <c r="C4" s="9" t="s">
        <v>128</v>
      </c>
      <c r="D4" s="75" t="s">
        <v>83</v>
      </c>
      <c r="E4" s="13" t="s">
        <v>127</v>
      </c>
      <c r="F4" s="75" t="s">
        <v>119</v>
      </c>
      <c r="G4" s="13">
        <v>44474.625</v>
      </c>
      <c r="H4" s="10" t="s">
        <v>120</v>
      </c>
      <c r="I4" s="1">
        <v>70</v>
      </c>
      <c r="J4" s="1">
        <v>35</v>
      </c>
      <c r="K4" s="1">
        <v>58</v>
      </c>
      <c r="L4" s="1">
        <v>17</v>
      </c>
      <c r="M4" s="79">
        <v>35.524999999999999</v>
      </c>
      <c r="N4" s="103">
        <v>35.524999999999999</v>
      </c>
      <c r="O4" s="64">
        <v>7000</v>
      </c>
      <c r="P4" s="65">
        <f>Table224578910112345[[#This Row],[PEMBULATAN]]*O4</f>
        <v>248675</v>
      </c>
    </row>
    <row r="5" spans="1:16" ht="26.25" customHeight="1" x14ac:dyDescent="0.2">
      <c r="A5" s="14"/>
      <c r="B5" s="14"/>
      <c r="C5" s="9" t="s">
        <v>129</v>
      </c>
      <c r="D5" s="75" t="s">
        <v>83</v>
      </c>
      <c r="E5" s="13" t="s">
        <v>127</v>
      </c>
      <c r="F5" s="75" t="s">
        <v>119</v>
      </c>
      <c r="G5" s="13">
        <v>44474.625</v>
      </c>
      <c r="H5" s="10" t="s">
        <v>120</v>
      </c>
      <c r="I5" s="1">
        <v>50</v>
      </c>
      <c r="J5" s="1">
        <v>40</v>
      </c>
      <c r="K5" s="1">
        <v>40</v>
      </c>
      <c r="L5" s="1">
        <v>15</v>
      </c>
      <c r="M5" s="79">
        <v>20</v>
      </c>
      <c r="N5" s="103">
        <v>20</v>
      </c>
      <c r="O5" s="64">
        <v>7000</v>
      </c>
      <c r="P5" s="65">
        <f>Table224578910112345[[#This Row],[PEMBULATAN]]*O5</f>
        <v>140000</v>
      </c>
    </row>
    <row r="6" spans="1:16" ht="26.25" customHeight="1" x14ac:dyDescent="0.2">
      <c r="A6" s="14"/>
      <c r="B6" s="14"/>
      <c r="C6" s="95" t="s">
        <v>130</v>
      </c>
      <c r="D6" s="96" t="s">
        <v>83</v>
      </c>
      <c r="E6" s="97" t="s">
        <v>127</v>
      </c>
      <c r="F6" s="98" t="s">
        <v>119</v>
      </c>
      <c r="G6" s="97">
        <v>44474.625</v>
      </c>
      <c r="H6" s="99" t="s">
        <v>120</v>
      </c>
      <c r="I6" s="100">
        <v>127</v>
      </c>
      <c r="J6" s="100">
        <v>64</v>
      </c>
      <c r="K6" s="100">
        <v>63</v>
      </c>
      <c r="L6" s="100">
        <v>31</v>
      </c>
      <c r="M6" s="101">
        <v>128.01599999999999</v>
      </c>
      <c r="N6" s="107">
        <v>128.01599999999999</v>
      </c>
      <c r="O6" s="64">
        <v>7000</v>
      </c>
      <c r="P6" s="65">
        <f>Table224578910112345[[#This Row],[PEMBULATAN]]*O6</f>
        <v>896111.99999999988</v>
      </c>
    </row>
    <row r="7" spans="1:16" ht="26.25" customHeight="1" x14ac:dyDescent="0.2">
      <c r="A7" s="14"/>
      <c r="B7" s="14"/>
      <c r="C7" s="95" t="s">
        <v>131</v>
      </c>
      <c r="D7" s="96" t="s">
        <v>83</v>
      </c>
      <c r="E7" s="97" t="s">
        <v>127</v>
      </c>
      <c r="F7" s="98" t="s">
        <v>119</v>
      </c>
      <c r="G7" s="97">
        <v>44474.625</v>
      </c>
      <c r="H7" s="99" t="s">
        <v>120</v>
      </c>
      <c r="I7" s="100">
        <v>70</v>
      </c>
      <c r="J7" s="100">
        <v>60</v>
      </c>
      <c r="K7" s="100">
        <v>30</v>
      </c>
      <c r="L7" s="100">
        <v>23</v>
      </c>
      <c r="M7" s="101">
        <v>31.5</v>
      </c>
      <c r="N7" s="107">
        <v>31.5</v>
      </c>
      <c r="O7" s="64">
        <v>7000</v>
      </c>
      <c r="P7" s="65">
        <f>Table224578910112345[[#This Row],[PEMBULATAN]]*O7</f>
        <v>220500</v>
      </c>
    </row>
    <row r="8" spans="1:16" ht="26.25" customHeight="1" x14ac:dyDescent="0.2">
      <c r="A8" s="14"/>
      <c r="B8" s="14"/>
      <c r="C8" s="95" t="s">
        <v>132</v>
      </c>
      <c r="D8" s="96" t="s">
        <v>83</v>
      </c>
      <c r="E8" s="97" t="s">
        <v>127</v>
      </c>
      <c r="F8" s="98" t="s">
        <v>119</v>
      </c>
      <c r="G8" s="97">
        <v>44474.625</v>
      </c>
      <c r="H8" s="99" t="s">
        <v>120</v>
      </c>
      <c r="I8" s="100">
        <v>63</v>
      </c>
      <c r="J8" s="100">
        <v>50</v>
      </c>
      <c r="K8" s="100">
        <v>40</v>
      </c>
      <c r="L8" s="100">
        <v>10</v>
      </c>
      <c r="M8" s="101">
        <v>31.5</v>
      </c>
      <c r="N8" s="107">
        <v>31.5</v>
      </c>
      <c r="O8" s="64">
        <v>7000</v>
      </c>
      <c r="P8" s="65">
        <f>Table224578910112345[[#This Row],[PEMBULATAN]]*O8</f>
        <v>220500</v>
      </c>
    </row>
    <row r="9" spans="1:16" ht="26.25" customHeight="1" x14ac:dyDescent="0.2">
      <c r="A9" s="14"/>
      <c r="B9" s="14"/>
      <c r="C9" s="95" t="s">
        <v>133</v>
      </c>
      <c r="D9" s="96" t="s">
        <v>83</v>
      </c>
      <c r="E9" s="97" t="s">
        <v>127</v>
      </c>
      <c r="F9" s="98" t="s">
        <v>119</v>
      </c>
      <c r="G9" s="97">
        <v>44474.625</v>
      </c>
      <c r="H9" s="99" t="s">
        <v>120</v>
      </c>
      <c r="I9" s="100">
        <v>118</v>
      </c>
      <c r="J9" s="100">
        <v>35</v>
      </c>
      <c r="K9" s="100">
        <v>38</v>
      </c>
      <c r="L9" s="100">
        <v>33</v>
      </c>
      <c r="M9" s="101">
        <v>39.234999999999999</v>
      </c>
      <c r="N9" s="107">
        <v>39.234999999999999</v>
      </c>
      <c r="O9" s="64">
        <v>7000</v>
      </c>
      <c r="P9" s="65">
        <f>Table224578910112345[[#This Row],[PEMBULATAN]]*O9</f>
        <v>274645</v>
      </c>
    </row>
    <row r="10" spans="1:16" ht="26.25" customHeight="1" x14ac:dyDescent="0.2">
      <c r="A10" s="14"/>
      <c r="B10" s="14"/>
      <c r="C10" s="95" t="s">
        <v>134</v>
      </c>
      <c r="D10" s="96" t="s">
        <v>83</v>
      </c>
      <c r="E10" s="97" t="s">
        <v>127</v>
      </c>
      <c r="F10" s="98" t="s">
        <v>119</v>
      </c>
      <c r="G10" s="97">
        <v>44474.625</v>
      </c>
      <c r="H10" s="99" t="s">
        <v>120</v>
      </c>
      <c r="I10" s="100">
        <v>94</v>
      </c>
      <c r="J10" s="100">
        <v>35</v>
      </c>
      <c r="K10" s="100">
        <v>40</v>
      </c>
      <c r="L10" s="100">
        <v>19</v>
      </c>
      <c r="M10" s="101">
        <v>32.9</v>
      </c>
      <c r="N10" s="107">
        <v>32.9</v>
      </c>
      <c r="O10" s="64">
        <v>7000</v>
      </c>
      <c r="P10" s="65">
        <f>Table224578910112345[[#This Row],[PEMBULATAN]]*O10</f>
        <v>230300</v>
      </c>
    </row>
    <row r="11" spans="1:16" ht="26.25" customHeight="1" x14ac:dyDescent="0.2">
      <c r="A11" s="14"/>
      <c r="B11" s="14"/>
      <c r="C11" s="95" t="s">
        <v>135</v>
      </c>
      <c r="D11" s="96" t="s">
        <v>83</v>
      </c>
      <c r="E11" s="97" t="s">
        <v>127</v>
      </c>
      <c r="F11" s="98" t="s">
        <v>119</v>
      </c>
      <c r="G11" s="97">
        <v>44474.625</v>
      </c>
      <c r="H11" s="99" t="s">
        <v>120</v>
      </c>
      <c r="I11" s="100">
        <v>50</v>
      </c>
      <c r="J11" s="100">
        <v>40</v>
      </c>
      <c r="K11" s="100">
        <v>40</v>
      </c>
      <c r="L11" s="100">
        <v>9</v>
      </c>
      <c r="M11" s="101">
        <v>20</v>
      </c>
      <c r="N11" s="107">
        <v>20</v>
      </c>
      <c r="O11" s="64">
        <v>7000</v>
      </c>
      <c r="P11" s="65">
        <f>Table224578910112345[[#This Row],[PEMBULATAN]]*O11</f>
        <v>140000</v>
      </c>
    </row>
    <row r="12" spans="1:16" ht="26.25" customHeight="1" x14ac:dyDescent="0.2">
      <c r="A12" s="14"/>
      <c r="B12" s="14"/>
      <c r="C12" s="95" t="s">
        <v>136</v>
      </c>
      <c r="D12" s="96" t="s">
        <v>83</v>
      </c>
      <c r="E12" s="97" t="s">
        <v>127</v>
      </c>
      <c r="F12" s="98" t="s">
        <v>119</v>
      </c>
      <c r="G12" s="97">
        <v>44474.625</v>
      </c>
      <c r="H12" s="99" t="s">
        <v>120</v>
      </c>
      <c r="I12" s="100">
        <v>80</v>
      </c>
      <c r="J12" s="100">
        <v>35</v>
      </c>
      <c r="K12" s="100">
        <v>54</v>
      </c>
      <c r="L12" s="100">
        <v>10</v>
      </c>
      <c r="M12" s="101">
        <v>37.799999999999997</v>
      </c>
      <c r="N12" s="107">
        <v>37.799999999999997</v>
      </c>
      <c r="O12" s="64">
        <v>7000</v>
      </c>
      <c r="P12" s="65">
        <f>Table224578910112345[[#This Row],[PEMBULATAN]]*O12</f>
        <v>264600</v>
      </c>
    </row>
    <row r="13" spans="1:16" ht="26.25" customHeight="1" x14ac:dyDescent="0.2">
      <c r="A13" s="14"/>
      <c r="B13" s="14"/>
      <c r="C13" s="95" t="s">
        <v>137</v>
      </c>
      <c r="D13" s="96" t="s">
        <v>83</v>
      </c>
      <c r="E13" s="97" t="s">
        <v>127</v>
      </c>
      <c r="F13" s="98" t="s">
        <v>119</v>
      </c>
      <c r="G13" s="97">
        <v>44474.625</v>
      </c>
      <c r="H13" s="99" t="s">
        <v>120</v>
      </c>
      <c r="I13" s="100">
        <v>43</v>
      </c>
      <c r="J13" s="100">
        <v>23</v>
      </c>
      <c r="K13" s="100">
        <v>22</v>
      </c>
      <c r="L13" s="100">
        <v>5</v>
      </c>
      <c r="M13" s="101">
        <v>5.4394999999999998</v>
      </c>
      <c r="N13" s="107">
        <v>6</v>
      </c>
      <c r="O13" s="64">
        <v>7000</v>
      </c>
      <c r="P13" s="65">
        <f>Table224578910112345[[#This Row],[PEMBULATAN]]*O13</f>
        <v>42000</v>
      </c>
    </row>
    <row r="14" spans="1:16" ht="26.25" customHeight="1" x14ac:dyDescent="0.2">
      <c r="A14" s="14"/>
      <c r="B14" s="14"/>
      <c r="C14" s="95" t="s">
        <v>138</v>
      </c>
      <c r="D14" s="96" t="s">
        <v>83</v>
      </c>
      <c r="E14" s="97" t="s">
        <v>127</v>
      </c>
      <c r="F14" s="98" t="s">
        <v>119</v>
      </c>
      <c r="G14" s="97">
        <v>44474.625</v>
      </c>
      <c r="H14" s="99" t="s">
        <v>120</v>
      </c>
      <c r="I14" s="100">
        <v>50</v>
      </c>
      <c r="J14" s="100">
        <v>30</v>
      </c>
      <c r="K14" s="100">
        <v>18</v>
      </c>
      <c r="L14" s="100">
        <v>9</v>
      </c>
      <c r="M14" s="101">
        <v>6.75</v>
      </c>
      <c r="N14" s="107">
        <v>9</v>
      </c>
      <c r="O14" s="64">
        <v>7000</v>
      </c>
      <c r="P14" s="65">
        <f>Table224578910112345[[#This Row],[PEMBULATAN]]*O14</f>
        <v>63000</v>
      </c>
    </row>
    <row r="15" spans="1:16" ht="26.25" customHeight="1" x14ac:dyDescent="0.2">
      <c r="A15" s="14"/>
      <c r="B15" s="14"/>
      <c r="C15" s="95" t="s">
        <v>139</v>
      </c>
      <c r="D15" s="96" t="s">
        <v>83</v>
      </c>
      <c r="E15" s="97" t="s">
        <v>127</v>
      </c>
      <c r="F15" s="98" t="s">
        <v>119</v>
      </c>
      <c r="G15" s="97">
        <v>44474.625</v>
      </c>
      <c r="H15" s="99" t="s">
        <v>120</v>
      </c>
      <c r="I15" s="100">
        <v>37</v>
      </c>
      <c r="J15" s="100">
        <v>37</v>
      </c>
      <c r="K15" s="100">
        <v>22</v>
      </c>
      <c r="L15" s="100">
        <v>10</v>
      </c>
      <c r="M15" s="101">
        <v>7.5294999999999996</v>
      </c>
      <c r="N15" s="107">
        <v>10</v>
      </c>
      <c r="O15" s="64">
        <v>7000</v>
      </c>
      <c r="P15" s="65">
        <f>Table224578910112345[[#This Row],[PEMBULATAN]]*O15</f>
        <v>70000</v>
      </c>
    </row>
    <row r="16" spans="1:16" ht="26.25" customHeight="1" x14ac:dyDescent="0.2">
      <c r="A16" s="14"/>
      <c r="B16" s="14"/>
      <c r="C16" s="95" t="s">
        <v>140</v>
      </c>
      <c r="D16" s="96" t="s">
        <v>83</v>
      </c>
      <c r="E16" s="97" t="s">
        <v>127</v>
      </c>
      <c r="F16" s="98" t="s">
        <v>119</v>
      </c>
      <c r="G16" s="97">
        <v>44474.625</v>
      </c>
      <c r="H16" s="99" t="s">
        <v>120</v>
      </c>
      <c r="I16" s="100">
        <v>43</v>
      </c>
      <c r="J16" s="100">
        <v>34</v>
      </c>
      <c r="K16" s="100">
        <v>35</v>
      </c>
      <c r="L16" s="100">
        <v>7</v>
      </c>
      <c r="M16" s="101">
        <v>12.7925</v>
      </c>
      <c r="N16" s="107">
        <v>12.7925</v>
      </c>
      <c r="O16" s="64">
        <v>7000</v>
      </c>
      <c r="P16" s="65">
        <f>Table224578910112345[[#This Row],[PEMBULATAN]]*O16</f>
        <v>89547.5</v>
      </c>
    </row>
    <row r="17" spans="1:16" ht="26.25" customHeight="1" x14ac:dyDescent="0.2">
      <c r="A17" s="14"/>
      <c r="B17" s="14"/>
      <c r="C17" s="95" t="s">
        <v>141</v>
      </c>
      <c r="D17" s="96" t="s">
        <v>83</v>
      </c>
      <c r="E17" s="97" t="s">
        <v>127</v>
      </c>
      <c r="F17" s="98" t="s">
        <v>119</v>
      </c>
      <c r="G17" s="97">
        <v>44474.625</v>
      </c>
      <c r="H17" s="99" t="s">
        <v>120</v>
      </c>
      <c r="I17" s="100">
        <v>77</v>
      </c>
      <c r="J17" s="100">
        <v>37</v>
      </c>
      <c r="K17" s="100">
        <v>23</v>
      </c>
      <c r="L17" s="100">
        <v>14</v>
      </c>
      <c r="M17" s="101">
        <v>16.38175</v>
      </c>
      <c r="N17" s="107">
        <v>17</v>
      </c>
      <c r="O17" s="64">
        <v>7000</v>
      </c>
      <c r="P17" s="65">
        <f>Table224578910112345[[#This Row],[PEMBULATAN]]*O17</f>
        <v>119000</v>
      </c>
    </row>
    <row r="18" spans="1:16" ht="26.25" customHeight="1" x14ac:dyDescent="0.2">
      <c r="A18" s="14"/>
      <c r="B18" s="110"/>
      <c r="C18" s="95" t="s">
        <v>142</v>
      </c>
      <c r="D18" s="96" t="s">
        <v>83</v>
      </c>
      <c r="E18" s="97" t="s">
        <v>127</v>
      </c>
      <c r="F18" s="98" t="s">
        <v>119</v>
      </c>
      <c r="G18" s="97">
        <v>44474.625</v>
      </c>
      <c r="H18" s="99" t="s">
        <v>120</v>
      </c>
      <c r="I18" s="100">
        <v>46</v>
      </c>
      <c r="J18" s="100">
        <v>33</v>
      </c>
      <c r="K18" s="100">
        <v>15</v>
      </c>
      <c r="L18" s="100">
        <v>5</v>
      </c>
      <c r="M18" s="101">
        <v>5.6924999999999999</v>
      </c>
      <c r="N18" s="107">
        <v>5.6924999999999999</v>
      </c>
      <c r="O18" s="64">
        <v>7000</v>
      </c>
      <c r="P18" s="65">
        <f>Table224578910112345[[#This Row],[PEMBULATAN]]*O18</f>
        <v>39847.5</v>
      </c>
    </row>
    <row r="19" spans="1:16" ht="26.25" customHeight="1" x14ac:dyDescent="0.2">
      <c r="A19" s="14"/>
      <c r="B19" s="14" t="s">
        <v>143</v>
      </c>
      <c r="C19" s="95" t="s">
        <v>144</v>
      </c>
      <c r="D19" s="96" t="s">
        <v>83</v>
      </c>
      <c r="E19" s="97" t="s">
        <v>127</v>
      </c>
      <c r="F19" s="98" t="s">
        <v>119</v>
      </c>
      <c r="G19" s="97">
        <v>44474.625</v>
      </c>
      <c r="H19" s="99" t="s">
        <v>120</v>
      </c>
      <c r="I19" s="100">
        <v>61</v>
      </c>
      <c r="J19" s="100">
        <v>44</v>
      </c>
      <c r="K19" s="100">
        <v>23</v>
      </c>
      <c r="L19" s="100">
        <v>12</v>
      </c>
      <c r="M19" s="101">
        <v>15.433</v>
      </c>
      <c r="N19" s="107">
        <v>16</v>
      </c>
      <c r="O19" s="64">
        <v>7000</v>
      </c>
      <c r="P19" s="65">
        <f>Table224578910112345[[#This Row],[PEMBULATAN]]*O19</f>
        <v>112000</v>
      </c>
    </row>
    <row r="20" spans="1:16" ht="26.25" customHeight="1" x14ac:dyDescent="0.2">
      <c r="A20" s="14"/>
      <c r="B20" s="14"/>
      <c r="C20" s="95" t="s">
        <v>145</v>
      </c>
      <c r="D20" s="96" t="s">
        <v>83</v>
      </c>
      <c r="E20" s="97" t="s">
        <v>127</v>
      </c>
      <c r="F20" s="98" t="s">
        <v>119</v>
      </c>
      <c r="G20" s="97">
        <v>44474.625</v>
      </c>
      <c r="H20" s="99" t="s">
        <v>120</v>
      </c>
      <c r="I20" s="100">
        <v>60</v>
      </c>
      <c r="J20" s="100">
        <v>42</v>
      </c>
      <c r="K20" s="100">
        <v>45</v>
      </c>
      <c r="L20" s="100">
        <v>18</v>
      </c>
      <c r="M20" s="101">
        <v>28.35</v>
      </c>
      <c r="N20" s="107">
        <v>29</v>
      </c>
      <c r="O20" s="64">
        <v>7000</v>
      </c>
      <c r="P20" s="65">
        <f>Table224578910112345[[#This Row],[PEMBULATAN]]*O20</f>
        <v>203000</v>
      </c>
    </row>
    <row r="21" spans="1:16" ht="22.5" customHeight="1" x14ac:dyDescent="0.2">
      <c r="A21" s="143" t="s">
        <v>30</v>
      </c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5"/>
      <c r="M21" s="78">
        <f>SUBTOTAL(109,Table224578910112345[KG VOLUME])</f>
        <v>487.35725000000002</v>
      </c>
      <c r="N21" s="68">
        <f>SUM(N3:N20)</f>
        <v>494.4735</v>
      </c>
      <c r="O21" s="146">
        <f>SUM(P3:P20)</f>
        <v>3461314.5</v>
      </c>
      <c r="P21" s="147"/>
    </row>
    <row r="22" spans="1:16" ht="18" customHeight="1" x14ac:dyDescent="0.2">
      <c r="A22" s="85"/>
      <c r="B22" s="56" t="s">
        <v>42</v>
      </c>
      <c r="C22" s="55"/>
      <c r="D22" s="57" t="s">
        <v>43</v>
      </c>
      <c r="E22" s="85"/>
      <c r="F22" s="85"/>
      <c r="G22" s="85"/>
      <c r="H22" s="85"/>
      <c r="I22" s="85"/>
      <c r="J22" s="85"/>
      <c r="K22" s="85"/>
      <c r="L22" s="85"/>
      <c r="M22" s="86"/>
      <c r="N22" s="87" t="s">
        <v>52</v>
      </c>
      <c r="O22" s="88"/>
      <c r="P22" s="88">
        <v>0</v>
      </c>
    </row>
    <row r="23" spans="1:16" ht="18" customHeight="1" thickBot="1" x14ac:dyDescent="0.25">
      <c r="A23" s="85"/>
      <c r="B23" s="56"/>
      <c r="C23" s="55"/>
      <c r="D23" s="57"/>
      <c r="E23" s="85"/>
      <c r="F23" s="85"/>
      <c r="G23" s="85"/>
      <c r="H23" s="85"/>
      <c r="I23" s="85"/>
      <c r="J23" s="85"/>
      <c r="K23" s="85"/>
      <c r="L23" s="85"/>
      <c r="M23" s="86"/>
      <c r="N23" s="89" t="s">
        <v>53</v>
      </c>
      <c r="O23" s="90"/>
      <c r="P23" s="90">
        <f>O21-P22</f>
        <v>3461314.5</v>
      </c>
    </row>
    <row r="24" spans="1:16" ht="18" customHeight="1" x14ac:dyDescent="0.2">
      <c r="A24" s="11"/>
      <c r="H24" s="63"/>
      <c r="N24" s="62" t="s">
        <v>31</v>
      </c>
      <c r="P24" s="69">
        <f>P23*1%</f>
        <v>34613.145000000004</v>
      </c>
    </row>
    <row r="25" spans="1:16" ht="18" customHeight="1" thickBot="1" x14ac:dyDescent="0.25">
      <c r="A25" s="11"/>
      <c r="H25" s="63"/>
      <c r="N25" s="62" t="s">
        <v>54</v>
      </c>
      <c r="P25" s="71">
        <f>P23*2%</f>
        <v>69226.290000000008</v>
      </c>
    </row>
    <row r="26" spans="1:16" ht="18" customHeight="1" x14ac:dyDescent="0.2">
      <c r="A26" s="11"/>
      <c r="H26" s="63"/>
      <c r="N26" s="66" t="s">
        <v>32</v>
      </c>
      <c r="O26" s="67"/>
      <c r="P26" s="70">
        <f>P23+P24-P25</f>
        <v>3426701.355</v>
      </c>
    </row>
    <row r="28" spans="1:16" x14ac:dyDescent="0.2">
      <c r="A28" s="11"/>
      <c r="H28" s="63"/>
      <c r="P28" s="71"/>
    </row>
    <row r="29" spans="1:16" x14ac:dyDescent="0.2">
      <c r="A29" s="11"/>
      <c r="H29" s="63"/>
      <c r="O29" s="58"/>
      <c r="P29" s="71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</sheetData>
  <mergeCells count="2">
    <mergeCell ref="A21:L21"/>
    <mergeCell ref="O21:P21"/>
  </mergeCells>
  <conditionalFormatting sqref="B3">
    <cfRule type="duplicateValues" dxfId="875" priority="2"/>
  </conditionalFormatting>
  <conditionalFormatting sqref="B4">
    <cfRule type="duplicateValues" dxfId="874" priority="1"/>
  </conditionalFormatting>
  <conditionalFormatting sqref="B5:B20">
    <cfRule type="duplicateValues" dxfId="873" priority="3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8" sqref="O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403932</v>
      </c>
      <c r="B3" s="73" t="s">
        <v>876</v>
      </c>
      <c r="C3" s="9" t="s">
        <v>877</v>
      </c>
      <c r="D3" s="75" t="s">
        <v>83</v>
      </c>
      <c r="E3" s="13" t="s">
        <v>878</v>
      </c>
      <c r="F3" s="75" t="s">
        <v>84</v>
      </c>
      <c r="G3" s="13">
        <v>44499.916666666664</v>
      </c>
      <c r="H3" s="10" t="s">
        <v>879</v>
      </c>
      <c r="I3" s="1">
        <v>118</v>
      </c>
      <c r="J3" s="1">
        <v>51</v>
      </c>
      <c r="K3" s="1">
        <v>18</v>
      </c>
      <c r="L3" s="1">
        <v>14</v>
      </c>
      <c r="M3" s="79">
        <v>27.081</v>
      </c>
      <c r="N3" s="103">
        <v>27.081</v>
      </c>
      <c r="O3" s="64">
        <v>7000</v>
      </c>
      <c r="P3" s="65">
        <f>Table2245789101123456789101112131415161718192021222324252627282930313233343536373839404142434445464748495051[[#This Row],[PEMBULATAN]]*O3</f>
        <v>189567</v>
      </c>
    </row>
    <row r="4" spans="1:16" ht="26.25" customHeight="1" x14ac:dyDescent="0.2">
      <c r="A4" s="14"/>
      <c r="B4" s="74"/>
      <c r="C4" s="9" t="s">
        <v>880</v>
      </c>
      <c r="D4" s="75" t="s">
        <v>83</v>
      </c>
      <c r="E4" s="13" t="s">
        <v>878</v>
      </c>
      <c r="F4" s="75" t="s">
        <v>84</v>
      </c>
      <c r="G4" s="13">
        <v>44499.916666666664</v>
      </c>
      <c r="H4" s="10" t="s">
        <v>879</v>
      </c>
      <c r="I4" s="1">
        <v>58</v>
      </c>
      <c r="J4" s="1">
        <v>41</v>
      </c>
      <c r="K4" s="1">
        <v>32</v>
      </c>
      <c r="L4" s="1">
        <v>21</v>
      </c>
      <c r="M4" s="79">
        <v>19.024000000000001</v>
      </c>
      <c r="N4" s="103">
        <v>21</v>
      </c>
      <c r="O4" s="64">
        <v>7000</v>
      </c>
      <c r="P4" s="65">
        <f>Table2245789101123456789101112131415161718192021222324252627282930313233343536373839404142434445464748495051[[#This Row],[PEMBULATAN]]*O4</f>
        <v>147000</v>
      </c>
    </row>
    <row r="5" spans="1:16" ht="26.25" customHeight="1" x14ac:dyDescent="0.2">
      <c r="A5" s="14"/>
      <c r="B5" s="74"/>
      <c r="C5" s="95" t="s">
        <v>881</v>
      </c>
      <c r="D5" s="96" t="s">
        <v>83</v>
      </c>
      <c r="E5" s="97" t="s">
        <v>878</v>
      </c>
      <c r="F5" s="98" t="s">
        <v>84</v>
      </c>
      <c r="G5" s="97">
        <v>44499.916666666664</v>
      </c>
      <c r="H5" s="99" t="s">
        <v>879</v>
      </c>
      <c r="I5" s="100">
        <v>36</v>
      </c>
      <c r="J5" s="100">
        <v>28</v>
      </c>
      <c r="K5" s="100">
        <v>25</v>
      </c>
      <c r="L5" s="100">
        <v>11</v>
      </c>
      <c r="M5" s="101">
        <v>6.3</v>
      </c>
      <c r="N5" s="107">
        <v>11</v>
      </c>
      <c r="O5" s="64">
        <v>7000</v>
      </c>
      <c r="P5" s="65">
        <f>Table2245789101123456789101112131415161718192021222324252627282930313233343536373839404142434445464748495051[[#This Row],[PEMBULATAN]]*O5</f>
        <v>77000</v>
      </c>
    </row>
    <row r="6" spans="1:16" ht="26.25" customHeight="1" x14ac:dyDescent="0.2">
      <c r="A6" s="14"/>
      <c r="B6" s="74"/>
      <c r="C6" s="95" t="s">
        <v>882</v>
      </c>
      <c r="D6" s="96" t="s">
        <v>83</v>
      </c>
      <c r="E6" s="97" t="s">
        <v>878</v>
      </c>
      <c r="F6" s="98" t="s">
        <v>84</v>
      </c>
      <c r="G6" s="97">
        <v>44499.916666666664</v>
      </c>
      <c r="H6" s="99" t="s">
        <v>879</v>
      </c>
      <c r="I6" s="100">
        <v>80</v>
      </c>
      <c r="J6" s="100">
        <v>42</v>
      </c>
      <c r="K6" s="100">
        <v>23</v>
      </c>
      <c r="L6" s="100">
        <v>18</v>
      </c>
      <c r="M6" s="101">
        <v>19.32</v>
      </c>
      <c r="N6" s="107">
        <v>20</v>
      </c>
      <c r="O6" s="64">
        <v>7000</v>
      </c>
      <c r="P6" s="65">
        <f>Table2245789101123456789101112131415161718192021222324252627282930313233343536373839404142434445464748495051[[#This Row],[PEMBULATAN]]*O6</f>
        <v>140000</v>
      </c>
    </row>
    <row r="7" spans="1:16" ht="22.5" customHeight="1" x14ac:dyDescent="0.2">
      <c r="A7" s="143" t="s">
        <v>30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5"/>
      <c r="M7" s="78">
        <f>SUBTOTAL(109,Table2245789101123456789101112131415161718192021222324252627282930313233343536373839404142434445464748495051[KG VOLUME])</f>
        <v>71.724999999999994</v>
      </c>
      <c r="N7" s="68">
        <f>SUM(N3:N6)</f>
        <v>79.081000000000003</v>
      </c>
      <c r="O7" s="146">
        <f>SUM(P3:P6)</f>
        <v>553567</v>
      </c>
      <c r="P7" s="147"/>
    </row>
    <row r="8" spans="1:16" ht="18" customHeight="1" x14ac:dyDescent="0.2">
      <c r="A8" s="85"/>
      <c r="B8" s="56" t="s">
        <v>42</v>
      </c>
      <c r="C8" s="55"/>
      <c r="D8" s="57" t="s">
        <v>43</v>
      </c>
      <c r="E8" s="85"/>
      <c r="F8" s="85"/>
      <c r="G8" s="85"/>
      <c r="H8" s="85"/>
      <c r="I8" s="85"/>
      <c r="J8" s="85"/>
      <c r="K8" s="85"/>
      <c r="L8" s="85"/>
      <c r="M8" s="86"/>
      <c r="N8" s="87" t="s">
        <v>52</v>
      </c>
      <c r="O8" s="88"/>
      <c r="P8" s="88">
        <v>0</v>
      </c>
    </row>
    <row r="9" spans="1:16" ht="18" customHeight="1" thickBot="1" x14ac:dyDescent="0.25">
      <c r="A9" s="85"/>
      <c r="B9" s="56"/>
      <c r="C9" s="55"/>
      <c r="D9" s="57"/>
      <c r="E9" s="85"/>
      <c r="F9" s="85"/>
      <c r="G9" s="85"/>
      <c r="H9" s="85"/>
      <c r="I9" s="85"/>
      <c r="J9" s="85"/>
      <c r="K9" s="85"/>
      <c r="L9" s="85"/>
      <c r="M9" s="86"/>
      <c r="N9" s="89" t="s">
        <v>53</v>
      </c>
      <c r="O9" s="90"/>
      <c r="P9" s="90">
        <f>O7-P8</f>
        <v>553567</v>
      </c>
    </row>
    <row r="10" spans="1:16" ht="18" customHeight="1" x14ac:dyDescent="0.2">
      <c r="A10" s="11"/>
      <c r="H10" s="63"/>
      <c r="N10" s="62" t="s">
        <v>31</v>
      </c>
      <c r="P10" s="69">
        <f>P9*1%</f>
        <v>5535.67</v>
      </c>
    </row>
    <row r="11" spans="1:16" ht="18" customHeight="1" thickBot="1" x14ac:dyDescent="0.25">
      <c r="A11" s="11"/>
      <c r="H11" s="63"/>
      <c r="N11" s="62" t="s">
        <v>54</v>
      </c>
      <c r="P11" s="71">
        <f>P9*2%</f>
        <v>11071.34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548031.33000000007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99" priority="2"/>
  </conditionalFormatting>
  <conditionalFormatting sqref="B4:B6">
    <cfRule type="duplicateValues" dxfId="98" priority="7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O35" sqref="O35"/>
    </sheetView>
  </sheetViews>
  <sheetFormatPr defaultRowHeight="15" x14ac:dyDescent="0.2"/>
  <cols>
    <col min="1" max="1" width="8" style="4" customWidth="1"/>
    <col min="2" max="2" width="20.42578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402304</v>
      </c>
      <c r="B3" s="109" t="s">
        <v>883</v>
      </c>
      <c r="C3" s="9" t="s">
        <v>884</v>
      </c>
      <c r="D3" s="75" t="s">
        <v>83</v>
      </c>
      <c r="E3" s="13" t="s">
        <v>878</v>
      </c>
      <c r="F3" s="75" t="s">
        <v>84</v>
      </c>
      <c r="G3" s="13">
        <v>44499.916666666664</v>
      </c>
      <c r="H3" s="10" t="s">
        <v>879</v>
      </c>
      <c r="I3" s="1">
        <v>62</v>
      </c>
      <c r="J3" s="1">
        <v>62</v>
      </c>
      <c r="K3" s="1">
        <v>8</v>
      </c>
      <c r="L3" s="1">
        <v>80</v>
      </c>
      <c r="M3" s="79">
        <v>7.6879999999999997</v>
      </c>
      <c r="N3" s="103">
        <v>80</v>
      </c>
      <c r="O3" s="64">
        <v>7000</v>
      </c>
      <c r="P3" s="65">
        <f>Table224578910112345678910111213141516171819202122232425262728293031323334353637383940414243444546474849505152[[#This Row],[PEMBULATAN]]*O3</f>
        <v>560000</v>
      </c>
    </row>
    <row r="4" spans="1:16" ht="26.25" customHeight="1" x14ac:dyDescent="0.2">
      <c r="A4" s="14"/>
      <c r="B4" s="74" t="s">
        <v>885</v>
      </c>
      <c r="C4" s="9" t="s">
        <v>886</v>
      </c>
      <c r="D4" s="75" t="s">
        <v>83</v>
      </c>
      <c r="E4" s="13" t="s">
        <v>878</v>
      </c>
      <c r="F4" s="75" t="s">
        <v>84</v>
      </c>
      <c r="G4" s="13">
        <v>44499.916666666664</v>
      </c>
      <c r="H4" s="10" t="s">
        <v>879</v>
      </c>
      <c r="I4" s="1">
        <v>46</v>
      </c>
      <c r="J4" s="1">
        <v>34</v>
      </c>
      <c r="K4" s="1">
        <v>20</v>
      </c>
      <c r="L4" s="1">
        <v>12</v>
      </c>
      <c r="M4" s="79">
        <v>7.82</v>
      </c>
      <c r="N4" s="103">
        <v>12</v>
      </c>
      <c r="O4" s="64">
        <v>7000</v>
      </c>
      <c r="P4" s="65">
        <f>Table224578910112345678910111213141516171819202122232425262728293031323334353637383940414243444546474849505152[[#This Row],[PEMBULATAN]]*O4</f>
        <v>84000</v>
      </c>
    </row>
    <row r="5" spans="1:16" ht="26.25" customHeight="1" x14ac:dyDescent="0.2">
      <c r="A5" s="14"/>
      <c r="B5" s="74"/>
      <c r="C5" s="95" t="s">
        <v>887</v>
      </c>
      <c r="D5" s="96" t="s">
        <v>83</v>
      </c>
      <c r="E5" s="97" t="s">
        <v>878</v>
      </c>
      <c r="F5" s="98" t="s">
        <v>84</v>
      </c>
      <c r="G5" s="97">
        <v>44499.916666666664</v>
      </c>
      <c r="H5" s="99" t="s">
        <v>879</v>
      </c>
      <c r="I5" s="100">
        <v>45</v>
      </c>
      <c r="J5" s="100">
        <v>37</v>
      </c>
      <c r="K5" s="100">
        <v>38</v>
      </c>
      <c r="L5" s="100">
        <v>13</v>
      </c>
      <c r="M5" s="101">
        <v>15.817500000000001</v>
      </c>
      <c r="N5" s="107">
        <v>15.817500000000001</v>
      </c>
      <c r="O5" s="64">
        <v>7000</v>
      </c>
      <c r="P5" s="65">
        <f>Table224578910112345678910111213141516171819202122232425262728293031323334353637383940414243444546474849505152[[#This Row],[PEMBULATAN]]*O5</f>
        <v>110722.5</v>
      </c>
    </row>
    <row r="6" spans="1:16" ht="26.25" customHeight="1" x14ac:dyDescent="0.2">
      <c r="A6" s="14"/>
      <c r="B6" s="74"/>
      <c r="C6" s="95" t="s">
        <v>888</v>
      </c>
      <c r="D6" s="96" t="s">
        <v>83</v>
      </c>
      <c r="E6" s="97" t="s">
        <v>878</v>
      </c>
      <c r="F6" s="98" t="s">
        <v>84</v>
      </c>
      <c r="G6" s="97">
        <v>44499.916666666664</v>
      </c>
      <c r="H6" s="99" t="s">
        <v>879</v>
      </c>
      <c r="I6" s="100">
        <v>52</v>
      </c>
      <c r="J6" s="100">
        <v>38</v>
      </c>
      <c r="K6" s="100">
        <v>30</v>
      </c>
      <c r="L6" s="100">
        <v>26</v>
      </c>
      <c r="M6" s="101">
        <v>14.82</v>
      </c>
      <c r="N6" s="107">
        <v>26</v>
      </c>
      <c r="O6" s="64">
        <v>7000</v>
      </c>
      <c r="P6" s="65">
        <f>Table224578910112345678910111213141516171819202122232425262728293031323334353637383940414243444546474849505152[[#This Row],[PEMBULATAN]]*O6</f>
        <v>182000</v>
      </c>
    </row>
    <row r="7" spans="1:16" ht="26.25" customHeight="1" x14ac:dyDescent="0.2">
      <c r="A7" s="14"/>
      <c r="B7" s="74"/>
      <c r="C7" s="95" t="s">
        <v>889</v>
      </c>
      <c r="D7" s="96" t="s">
        <v>83</v>
      </c>
      <c r="E7" s="97" t="s">
        <v>878</v>
      </c>
      <c r="F7" s="98" t="s">
        <v>84</v>
      </c>
      <c r="G7" s="97">
        <v>44499.916666666664</v>
      </c>
      <c r="H7" s="99" t="s">
        <v>879</v>
      </c>
      <c r="I7" s="100">
        <v>52</v>
      </c>
      <c r="J7" s="100">
        <v>38</v>
      </c>
      <c r="K7" s="100">
        <v>30</v>
      </c>
      <c r="L7" s="100">
        <v>26</v>
      </c>
      <c r="M7" s="101">
        <v>14.82</v>
      </c>
      <c r="N7" s="107">
        <v>26</v>
      </c>
      <c r="O7" s="64">
        <v>7000</v>
      </c>
      <c r="P7" s="65">
        <f>Table224578910112345678910111213141516171819202122232425262728293031323334353637383940414243444546474849505152[[#This Row],[PEMBULATAN]]*O7</f>
        <v>182000</v>
      </c>
    </row>
    <row r="8" spans="1:16" ht="26.25" customHeight="1" x14ac:dyDescent="0.2">
      <c r="A8" s="14"/>
      <c r="B8" s="74"/>
      <c r="C8" s="95" t="s">
        <v>890</v>
      </c>
      <c r="D8" s="96" t="s">
        <v>83</v>
      </c>
      <c r="E8" s="97" t="s">
        <v>878</v>
      </c>
      <c r="F8" s="98" t="s">
        <v>84</v>
      </c>
      <c r="G8" s="97">
        <v>44499.916666666664</v>
      </c>
      <c r="H8" s="99" t="s">
        <v>879</v>
      </c>
      <c r="I8" s="100">
        <v>63</v>
      </c>
      <c r="J8" s="100">
        <v>64</v>
      </c>
      <c r="K8" s="100">
        <v>4</v>
      </c>
      <c r="L8" s="100">
        <v>5</v>
      </c>
      <c r="M8" s="101">
        <v>4.032</v>
      </c>
      <c r="N8" s="107">
        <v>5</v>
      </c>
      <c r="O8" s="64">
        <v>7000</v>
      </c>
      <c r="P8" s="65">
        <f>Table224578910112345678910111213141516171819202122232425262728293031323334353637383940414243444546474849505152[[#This Row],[PEMBULATAN]]*O8</f>
        <v>35000</v>
      </c>
    </row>
    <row r="9" spans="1:16" ht="26.25" customHeight="1" x14ac:dyDescent="0.2">
      <c r="A9" s="14"/>
      <c r="B9" s="74"/>
      <c r="C9" s="95" t="s">
        <v>891</v>
      </c>
      <c r="D9" s="96" t="s">
        <v>83</v>
      </c>
      <c r="E9" s="97" t="s">
        <v>878</v>
      </c>
      <c r="F9" s="98" t="s">
        <v>84</v>
      </c>
      <c r="G9" s="97">
        <v>44499.916666666664</v>
      </c>
      <c r="H9" s="99" t="s">
        <v>879</v>
      </c>
      <c r="I9" s="100">
        <v>96</v>
      </c>
      <c r="J9" s="100">
        <v>60</v>
      </c>
      <c r="K9" s="100">
        <v>8</v>
      </c>
      <c r="L9" s="100">
        <v>10</v>
      </c>
      <c r="M9" s="101">
        <v>11.52</v>
      </c>
      <c r="N9" s="107">
        <v>11.52</v>
      </c>
      <c r="O9" s="64">
        <v>7000</v>
      </c>
      <c r="P9" s="65">
        <f>Table224578910112345678910111213141516171819202122232425262728293031323334353637383940414243444546474849505152[[#This Row],[PEMBULATAN]]*O9</f>
        <v>80640</v>
      </c>
    </row>
    <row r="10" spans="1:16" ht="26.25" customHeight="1" x14ac:dyDescent="0.2">
      <c r="A10" s="14"/>
      <c r="B10" s="74"/>
      <c r="C10" s="95" t="s">
        <v>892</v>
      </c>
      <c r="D10" s="96" t="s">
        <v>83</v>
      </c>
      <c r="E10" s="97" t="s">
        <v>878</v>
      </c>
      <c r="F10" s="98" t="s">
        <v>84</v>
      </c>
      <c r="G10" s="97">
        <v>44499.916666666664</v>
      </c>
      <c r="H10" s="99" t="s">
        <v>879</v>
      </c>
      <c r="I10" s="100">
        <v>75</v>
      </c>
      <c r="J10" s="100">
        <v>42</v>
      </c>
      <c r="K10" s="100">
        <v>26</v>
      </c>
      <c r="L10" s="100">
        <v>12</v>
      </c>
      <c r="M10" s="101">
        <v>20.475000000000001</v>
      </c>
      <c r="N10" s="107">
        <v>21</v>
      </c>
      <c r="O10" s="64">
        <v>7000</v>
      </c>
      <c r="P10" s="65">
        <f>Table224578910112345678910111213141516171819202122232425262728293031323334353637383940414243444546474849505152[[#This Row],[PEMBULATAN]]*O10</f>
        <v>147000</v>
      </c>
    </row>
    <row r="11" spans="1:16" ht="26.25" customHeight="1" x14ac:dyDescent="0.2">
      <c r="A11" s="14"/>
      <c r="B11" s="74"/>
      <c r="C11" s="95" t="s">
        <v>893</v>
      </c>
      <c r="D11" s="96" t="s">
        <v>83</v>
      </c>
      <c r="E11" s="97" t="s">
        <v>878</v>
      </c>
      <c r="F11" s="98" t="s">
        <v>84</v>
      </c>
      <c r="G11" s="97">
        <v>44499.916666666664</v>
      </c>
      <c r="H11" s="99" t="s">
        <v>879</v>
      </c>
      <c r="I11" s="100">
        <v>60</v>
      </c>
      <c r="J11" s="100">
        <v>49</v>
      </c>
      <c r="K11" s="100">
        <v>27</v>
      </c>
      <c r="L11" s="100">
        <v>12</v>
      </c>
      <c r="M11" s="101">
        <v>19.844999999999999</v>
      </c>
      <c r="N11" s="107">
        <v>19.844999999999999</v>
      </c>
      <c r="O11" s="64">
        <v>7000</v>
      </c>
      <c r="P11" s="65">
        <f>Table224578910112345678910111213141516171819202122232425262728293031323334353637383940414243444546474849505152[[#This Row],[PEMBULATAN]]*O11</f>
        <v>138915</v>
      </c>
    </row>
    <row r="12" spans="1:16" ht="26.25" customHeight="1" x14ac:dyDescent="0.2">
      <c r="A12" s="14"/>
      <c r="B12" s="74"/>
      <c r="C12" s="95" t="s">
        <v>894</v>
      </c>
      <c r="D12" s="96" t="s">
        <v>83</v>
      </c>
      <c r="E12" s="97" t="s">
        <v>878</v>
      </c>
      <c r="F12" s="98" t="s">
        <v>84</v>
      </c>
      <c r="G12" s="97">
        <v>44499.916666666664</v>
      </c>
      <c r="H12" s="99" t="s">
        <v>879</v>
      </c>
      <c r="I12" s="100">
        <v>71</v>
      </c>
      <c r="J12" s="100">
        <v>43</v>
      </c>
      <c r="K12" s="100">
        <v>13</v>
      </c>
      <c r="L12" s="100">
        <v>6</v>
      </c>
      <c r="M12" s="101">
        <v>9.92225</v>
      </c>
      <c r="N12" s="107">
        <v>9.92225</v>
      </c>
      <c r="O12" s="64">
        <v>7000</v>
      </c>
      <c r="P12" s="65">
        <f>Table224578910112345678910111213141516171819202122232425262728293031323334353637383940414243444546474849505152[[#This Row],[PEMBULATAN]]*O12</f>
        <v>69455.75</v>
      </c>
    </row>
    <row r="13" spans="1:16" ht="26.25" customHeight="1" x14ac:dyDescent="0.2">
      <c r="A13" s="14"/>
      <c r="B13" s="74"/>
      <c r="C13" s="95" t="s">
        <v>895</v>
      </c>
      <c r="D13" s="96" t="s">
        <v>83</v>
      </c>
      <c r="E13" s="97" t="s">
        <v>878</v>
      </c>
      <c r="F13" s="98" t="s">
        <v>84</v>
      </c>
      <c r="G13" s="97">
        <v>44499.916666666664</v>
      </c>
      <c r="H13" s="99" t="s">
        <v>879</v>
      </c>
      <c r="I13" s="100">
        <v>75</v>
      </c>
      <c r="J13" s="100">
        <v>20</v>
      </c>
      <c r="K13" s="100">
        <v>12</v>
      </c>
      <c r="L13" s="100">
        <v>2</v>
      </c>
      <c r="M13" s="101">
        <v>4.5</v>
      </c>
      <c r="N13" s="107">
        <v>4.5</v>
      </c>
      <c r="O13" s="64">
        <v>7000</v>
      </c>
      <c r="P13" s="65">
        <f>Table224578910112345678910111213141516171819202122232425262728293031323334353637383940414243444546474849505152[[#This Row],[PEMBULATAN]]*O13</f>
        <v>31500</v>
      </c>
    </row>
    <row r="14" spans="1:16" ht="26.25" customHeight="1" x14ac:dyDescent="0.2">
      <c r="A14" s="14"/>
      <c r="B14" s="74"/>
      <c r="C14" s="95" t="s">
        <v>896</v>
      </c>
      <c r="D14" s="96" t="s">
        <v>83</v>
      </c>
      <c r="E14" s="97" t="s">
        <v>878</v>
      </c>
      <c r="F14" s="98" t="s">
        <v>84</v>
      </c>
      <c r="G14" s="97">
        <v>44499.916666666664</v>
      </c>
      <c r="H14" s="99" t="s">
        <v>879</v>
      </c>
      <c r="I14" s="100">
        <v>47</v>
      </c>
      <c r="J14" s="100">
        <v>32</v>
      </c>
      <c r="K14" s="100">
        <v>28</v>
      </c>
      <c r="L14" s="100">
        <v>5</v>
      </c>
      <c r="M14" s="101">
        <v>10.528</v>
      </c>
      <c r="N14" s="107">
        <v>10.528</v>
      </c>
      <c r="O14" s="64">
        <v>7000</v>
      </c>
      <c r="P14" s="65">
        <f>Table224578910112345678910111213141516171819202122232425262728293031323334353637383940414243444546474849505152[[#This Row],[PEMBULATAN]]*O14</f>
        <v>73696</v>
      </c>
    </row>
    <row r="15" spans="1:16" ht="26.25" customHeight="1" x14ac:dyDescent="0.2">
      <c r="A15" s="14"/>
      <c r="B15" s="74"/>
      <c r="C15" s="95" t="s">
        <v>897</v>
      </c>
      <c r="D15" s="96" t="s">
        <v>83</v>
      </c>
      <c r="E15" s="97" t="s">
        <v>878</v>
      </c>
      <c r="F15" s="98" t="s">
        <v>84</v>
      </c>
      <c r="G15" s="97">
        <v>44499.916666666664</v>
      </c>
      <c r="H15" s="99" t="s">
        <v>879</v>
      </c>
      <c r="I15" s="100">
        <v>35</v>
      </c>
      <c r="J15" s="100">
        <v>34</v>
      </c>
      <c r="K15" s="100">
        <v>20</v>
      </c>
      <c r="L15" s="100">
        <v>3</v>
      </c>
      <c r="M15" s="101">
        <v>5.95</v>
      </c>
      <c r="N15" s="107">
        <v>5.95</v>
      </c>
      <c r="O15" s="64">
        <v>7000</v>
      </c>
      <c r="P15" s="65">
        <f>Table224578910112345678910111213141516171819202122232425262728293031323334353637383940414243444546474849505152[[#This Row],[PEMBULATAN]]*O15</f>
        <v>41650</v>
      </c>
    </row>
    <row r="16" spans="1:16" ht="26.25" customHeight="1" x14ac:dyDescent="0.2">
      <c r="A16" s="14"/>
      <c r="B16" s="74"/>
      <c r="C16" s="95" t="s">
        <v>898</v>
      </c>
      <c r="D16" s="96" t="s">
        <v>83</v>
      </c>
      <c r="E16" s="97" t="s">
        <v>878</v>
      </c>
      <c r="F16" s="98" t="s">
        <v>84</v>
      </c>
      <c r="G16" s="97">
        <v>44499.916666666664</v>
      </c>
      <c r="H16" s="99" t="s">
        <v>879</v>
      </c>
      <c r="I16" s="100">
        <v>30</v>
      </c>
      <c r="J16" s="100">
        <v>32</v>
      </c>
      <c r="K16" s="100">
        <v>30</v>
      </c>
      <c r="L16" s="100">
        <v>2</v>
      </c>
      <c r="M16" s="101">
        <v>7.2</v>
      </c>
      <c r="N16" s="107">
        <v>7.2</v>
      </c>
      <c r="O16" s="64">
        <v>7000</v>
      </c>
      <c r="P16" s="65">
        <f>Table224578910112345678910111213141516171819202122232425262728293031323334353637383940414243444546474849505152[[#This Row],[PEMBULATAN]]*O16</f>
        <v>50400</v>
      </c>
    </row>
    <row r="17" spans="1:16" ht="26.25" customHeight="1" x14ac:dyDescent="0.2">
      <c r="A17" s="14"/>
      <c r="B17" s="74"/>
      <c r="C17" s="95" t="s">
        <v>899</v>
      </c>
      <c r="D17" s="96" t="s">
        <v>83</v>
      </c>
      <c r="E17" s="97" t="s">
        <v>878</v>
      </c>
      <c r="F17" s="98" t="s">
        <v>84</v>
      </c>
      <c r="G17" s="97">
        <v>44499.916666666664</v>
      </c>
      <c r="H17" s="99" t="s">
        <v>879</v>
      </c>
      <c r="I17" s="100">
        <v>41</v>
      </c>
      <c r="J17" s="100">
        <v>41</v>
      </c>
      <c r="K17" s="100">
        <v>20</v>
      </c>
      <c r="L17" s="100">
        <v>10</v>
      </c>
      <c r="M17" s="101">
        <v>8.4049999999999994</v>
      </c>
      <c r="N17" s="107">
        <v>10</v>
      </c>
      <c r="O17" s="64">
        <v>7000</v>
      </c>
      <c r="P17" s="65">
        <f>Table224578910112345678910111213141516171819202122232425262728293031323334353637383940414243444546474849505152[[#This Row],[PEMBULATAN]]*O17</f>
        <v>70000</v>
      </c>
    </row>
    <row r="18" spans="1:16" ht="26.25" customHeight="1" x14ac:dyDescent="0.2">
      <c r="A18" s="14"/>
      <c r="B18" s="74"/>
      <c r="C18" s="95" t="s">
        <v>900</v>
      </c>
      <c r="D18" s="96" t="s">
        <v>83</v>
      </c>
      <c r="E18" s="97" t="s">
        <v>878</v>
      </c>
      <c r="F18" s="98" t="s">
        <v>84</v>
      </c>
      <c r="G18" s="97">
        <v>44499.916666666664</v>
      </c>
      <c r="H18" s="99" t="s">
        <v>879</v>
      </c>
      <c r="I18" s="100">
        <v>61</v>
      </c>
      <c r="J18" s="100">
        <v>58</v>
      </c>
      <c r="K18" s="100">
        <v>39</v>
      </c>
      <c r="L18" s="100">
        <v>29</v>
      </c>
      <c r="M18" s="101">
        <v>34.4955</v>
      </c>
      <c r="N18" s="107">
        <v>34.4955</v>
      </c>
      <c r="O18" s="64">
        <v>7000</v>
      </c>
      <c r="P18" s="65">
        <f>Table224578910112345678910111213141516171819202122232425262728293031323334353637383940414243444546474849505152[[#This Row],[PEMBULATAN]]*O18</f>
        <v>241468.5</v>
      </c>
    </row>
    <row r="19" spans="1:16" ht="26.25" customHeight="1" x14ac:dyDescent="0.2">
      <c r="A19" s="14"/>
      <c r="B19" s="74"/>
      <c r="C19" s="95" t="s">
        <v>901</v>
      </c>
      <c r="D19" s="96" t="s">
        <v>83</v>
      </c>
      <c r="E19" s="97" t="s">
        <v>878</v>
      </c>
      <c r="F19" s="98" t="s">
        <v>84</v>
      </c>
      <c r="G19" s="97">
        <v>44499.916666666664</v>
      </c>
      <c r="H19" s="99" t="s">
        <v>879</v>
      </c>
      <c r="I19" s="100">
        <v>28</v>
      </c>
      <c r="J19" s="100">
        <v>10</v>
      </c>
      <c r="K19" s="100">
        <v>6</v>
      </c>
      <c r="L19" s="100">
        <v>1</v>
      </c>
      <c r="M19" s="101">
        <v>0.42</v>
      </c>
      <c r="N19" s="107">
        <v>1</v>
      </c>
      <c r="O19" s="64">
        <v>7000</v>
      </c>
      <c r="P19" s="65">
        <f>Table224578910112345678910111213141516171819202122232425262728293031323334353637383940414243444546474849505152[[#This Row],[PEMBULATAN]]*O19</f>
        <v>7000</v>
      </c>
    </row>
    <row r="20" spans="1:16" ht="26.25" customHeight="1" x14ac:dyDescent="0.2">
      <c r="A20" s="14"/>
      <c r="B20" s="108"/>
      <c r="C20" s="95" t="s">
        <v>902</v>
      </c>
      <c r="D20" s="96" t="s">
        <v>83</v>
      </c>
      <c r="E20" s="97" t="s">
        <v>878</v>
      </c>
      <c r="F20" s="98" t="s">
        <v>84</v>
      </c>
      <c r="G20" s="97">
        <v>44499.916666666664</v>
      </c>
      <c r="H20" s="99" t="s">
        <v>879</v>
      </c>
      <c r="I20" s="100">
        <v>51</v>
      </c>
      <c r="J20" s="100">
        <v>21</v>
      </c>
      <c r="K20" s="100">
        <v>8</v>
      </c>
      <c r="L20" s="100">
        <v>8</v>
      </c>
      <c r="M20" s="101">
        <v>2.1419999999999999</v>
      </c>
      <c r="N20" s="107">
        <v>8</v>
      </c>
      <c r="O20" s="64">
        <v>7000</v>
      </c>
      <c r="P20" s="65">
        <f>Table224578910112345678910111213141516171819202122232425262728293031323334353637383940414243444546474849505152[[#This Row],[PEMBULATAN]]*O20</f>
        <v>56000</v>
      </c>
    </row>
    <row r="21" spans="1:16" ht="26.25" customHeight="1" x14ac:dyDescent="0.2">
      <c r="A21" s="14"/>
      <c r="B21" s="74" t="s">
        <v>903</v>
      </c>
      <c r="C21" s="95" t="s">
        <v>904</v>
      </c>
      <c r="D21" s="96" t="s">
        <v>83</v>
      </c>
      <c r="E21" s="97" t="s">
        <v>878</v>
      </c>
      <c r="F21" s="98" t="s">
        <v>84</v>
      </c>
      <c r="G21" s="97">
        <v>44499.916666666664</v>
      </c>
      <c r="H21" s="99" t="s">
        <v>879</v>
      </c>
      <c r="I21" s="100">
        <v>56</v>
      </c>
      <c r="J21" s="100">
        <v>26</v>
      </c>
      <c r="K21" s="100">
        <v>25</v>
      </c>
      <c r="L21" s="100">
        <v>6</v>
      </c>
      <c r="M21" s="101">
        <v>9.1</v>
      </c>
      <c r="N21" s="107">
        <v>9.1</v>
      </c>
      <c r="O21" s="64">
        <v>7000</v>
      </c>
      <c r="P21" s="65">
        <f>Table224578910112345678910111213141516171819202122232425262728293031323334353637383940414243444546474849505152[[#This Row],[PEMBULATAN]]*O21</f>
        <v>63700</v>
      </c>
    </row>
    <row r="22" spans="1:16" ht="26.25" customHeight="1" x14ac:dyDescent="0.2">
      <c r="A22" s="14"/>
      <c r="B22" s="74"/>
      <c r="C22" s="95" t="s">
        <v>905</v>
      </c>
      <c r="D22" s="96" t="s">
        <v>83</v>
      </c>
      <c r="E22" s="97" t="s">
        <v>878</v>
      </c>
      <c r="F22" s="98" t="s">
        <v>84</v>
      </c>
      <c r="G22" s="97">
        <v>44499.916666666664</v>
      </c>
      <c r="H22" s="99" t="s">
        <v>879</v>
      </c>
      <c r="I22" s="100">
        <v>44</v>
      </c>
      <c r="J22" s="100">
        <v>30</v>
      </c>
      <c r="K22" s="100">
        <v>21</v>
      </c>
      <c r="L22" s="100">
        <v>36</v>
      </c>
      <c r="M22" s="101">
        <v>6.93</v>
      </c>
      <c r="N22" s="107">
        <v>36</v>
      </c>
      <c r="O22" s="64">
        <v>7000</v>
      </c>
      <c r="P22" s="65">
        <f>Table224578910112345678910111213141516171819202122232425262728293031323334353637383940414243444546474849505152[[#This Row],[PEMBULATAN]]*O22</f>
        <v>252000</v>
      </c>
    </row>
    <row r="23" spans="1:16" ht="26.25" customHeight="1" x14ac:dyDescent="0.2">
      <c r="A23" s="14"/>
      <c r="B23" s="108"/>
      <c r="C23" s="95" t="s">
        <v>906</v>
      </c>
      <c r="D23" s="96" t="s">
        <v>83</v>
      </c>
      <c r="E23" s="97" t="s">
        <v>878</v>
      </c>
      <c r="F23" s="98" t="s">
        <v>84</v>
      </c>
      <c r="G23" s="97">
        <v>44499.916666666664</v>
      </c>
      <c r="H23" s="99" t="s">
        <v>879</v>
      </c>
      <c r="I23" s="100">
        <v>44</v>
      </c>
      <c r="J23" s="100">
        <v>30</v>
      </c>
      <c r="K23" s="100">
        <v>21</v>
      </c>
      <c r="L23" s="100">
        <v>36</v>
      </c>
      <c r="M23" s="101">
        <v>6.93</v>
      </c>
      <c r="N23" s="107">
        <v>36</v>
      </c>
      <c r="O23" s="64">
        <v>7000</v>
      </c>
      <c r="P23" s="65">
        <f>Table224578910112345678910111213141516171819202122232425262728293031323334353637383940414243444546474849505152[[#This Row],[PEMBULATAN]]*O23</f>
        <v>252000</v>
      </c>
    </row>
    <row r="24" spans="1:16" ht="26.25" customHeight="1" x14ac:dyDescent="0.2">
      <c r="A24" s="14"/>
      <c r="B24" s="74" t="s">
        <v>907</v>
      </c>
      <c r="C24" s="95" t="s">
        <v>908</v>
      </c>
      <c r="D24" s="96" t="s">
        <v>83</v>
      </c>
      <c r="E24" s="97" t="s">
        <v>878</v>
      </c>
      <c r="F24" s="98" t="s">
        <v>84</v>
      </c>
      <c r="G24" s="97">
        <v>44499.916666666664</v>
      </c>
      <c r="H24" s="99" t="s">
        <v>879</v>
      </c>
      <c r="I24" s="100">
        <v>38</v>
      </c>
      <c r="J24" s="100">
        <v>35</v>
      </c>
      <c r="K24" s="100">
        <v>18</v>
      </c>
      <c r="L24" s="100">
        <v>12</v>
      </c>
      <c r="M24" s="101">
        <v>5.9850000000000003</v>
      </c>
      <c r="N24" s="107">
        <v>12</v>
      </c>
      <c r="O24" s="64">
        <v>7000</v>
      </c>
      <c r="P24" s="65">
        <f>Table224578910112345678910111213141516171819202122232425262728293031323334353637383940414243444546474849505152[[#This Row],[PEMBULATAN]]*O24</f>
        <v>84000</v>
      </c>
    </row>
    <row r="25" spans="1:16" ht="26.25" customHeight="1" x14ac:dyDescent="0.2">
      <c r="A25" s="14"/>
      <c r="B25" s="74"/>
      <c r="C25" s="95" t="s">
        <v>909</v>
      </c>
      <c r="D25" s="96" t="s">
        <v>83</v>
      </c>
      <c r="E25" s="97" t="s">
        <v>878</v>
      </c>
      <c r="F25" s="98" t="s">
        <v>84</v>
      </c>
      <c r="G25" s="97">
        <v>44499.916666666664</v>
      </c>
      <c r="H25" s="99" t="s">
        <v>879</v>
      </c>
      <c r="I25" s="100">
        <v>38</v>
      </c>
      <c r="J25" s="100">
        <v>35</v>
      </c>
      <c r="K25" s="100">
        <v>18</v>
      </c>
      <c r="L25" s="100">
        <v>12</v>
      </c>
      <c r="M25" s="101">
        <v>5.9850000000000003</v>
      </c>
      <c r="N25" s="107">
        <v>12</v>
      </c>
      <c r="O25" s="64">
        <v>7000</v>
      </c>
      <c r="P25" s="65">
        <f>Table224578910112345678910111213141516171819202122232425262728293031323334353637383940414243444546474849505152[[#This Row],[PEMBULATAN]]*O25</f>
        <v>84000</v>
      </c>
    </row>
    <row r="26" spans="1:16" ht="26.25" customHeight="1" x14ac:dyDescent="0.2">
      <c r="A26" s="14"/>
      <c r="B26" s="74"/>
      <c r="C26" s="95" t="s">
        <v>910</v>
      </c>
      <c r="D26" s="96" t="s">
        <v>83</v>
      </c>
      <c r="E26" s="97" t="s">
        <v>878</v>
      </c>
      <c r="F26" s="98" t="s">
        <v>84</v>
      </c>
      <c r="G26" s="97">
        <v>44499.916666666664</v>
      </c>
      <c r="H26" s="99" t="s">
        <v>879</v>
      </c>
      <c r="I26" s="100">
        <v>38</v>
      </c>
      <c r="J26" s="100">
        <v>35</v>
      </c>
      <c r="K26" s="100">
        <v>18</v>
      </c>
      <c r="L26" s="100">
        <v>12</v>
      </c>
      <c r="M26" s="101">
        <v>5.9850000000000003</v>
      </c>
      <c r="N26" s="107">
        <v>12</v>
      </c>
      <c r="O26" s="64">
        <v>7000</v>
      </c>
      <c r="P26" s="65">
        <f>Table224578910112345678910111213141516171819202122232425262728293031323334353637383940414243444546474849505152[[#This Row],[PEMBULATAN]]*O26</f>
        <v>84000</v>
      </c>
    </row>
    <row r="27" spans="1:16" ht="26.25" customHeight="1" x14ac:dyDescent="0.2">
      <c r="A27" s="14"/>
      <c r="B27" s="74"/>
      <c r="C27" s="95" t="s">
        <v>911</v>
      </c>
      <c r="D27" s="96" t="s">
        <v>83</v>
      </c>
      <c r="E27" s="97" t="s">
        <v>878</v>
      </c>
      <c r="F27" s="98" t="s">
        <v>84</v>
      </c>
      <c r="G27" s="97">
        <v>44499.916666666664</v>
      </c>
      <c r="H27" s="99" t="s">
        <v>879</v>
      </c>
      <c r="I27" s="100">
        <v>38</v>
      </c>
      <c r="J27" s="100">
        <v>35</v>
      </c>
      <c r="K27" s="100">
        <v>18</v>
      </c>
      <c r="L27" s="100">
        <v>12</v>
      </c>
      <c r="M27" s="101">
        <v>5.9850000000000003</v>
      </c>
      <c r="N27" s="107">
        <v>12</v>
      </c>
      <c r="O27" s="64">
        <v>7000</v>
      </c>
      <c r="P27" s="65">
        <f>Table224578910112345678910111213141516171819202122232425262728293031323334353637383940414243444546474849505152[[#This Row],[PEMBULATAN]]*O27</f>
        <v>84000</v>
      </c>
    </row>
    <row r="28" spans="1:16" ht="26.25" customHeight="1" x14ac:dyDescent="0.2">
      <c r="A28" s="14"/>
      <c r="B28" s="74"/>
      <c r="C28" s="95" t="s">
        <v>912</v>
      </c>
      <c r="D28" s="96" t="s">
        <v>83</v>
      </c>
      <c r="E28" s="97" t="s">
        <v>878</v>
      </c>
      <c r="F28" s="98" t="s">
        <v>84</v>
      </c>
      <c r="G28" s="97">
        <v>44499.916666666664</v>
      </c>
      <c r="H28" s="99" t="s">
        <v>879</v>
      </c>
      <c r="I28" s="100">
        <v>38</v>
      </c>
      <c r="J28" s="100">
        <v>35</v>
      </c>
      <c r="K28" s="100">
        <v>18</v>
      </c>
      <c r="L28" s="100">
        <v>12</v>
      </c>
      <c r="M28" s="101">
        <v>5.9850000000000003</v>
      </c>
      <c r="N28" s="107">
        <v>12</v>
      </c>
      <c r="O28" s="64">
        <v>7000</v>
      </c>
      <c r="P28" s="65">
        <f>Table224578910112345678910111213141516171819202122232425262728293031323334353637383940414243444546474849505152[[#This Row],[PEMBULATAN]]*O28</f>
        <v>84000</v>
      </c>
    </row>
    <row r="29" spans="1:16" ht="26.25" customHeight="1" x14ac:dyDescent="0.2">
      <c r="A29" s="14"/>
      <c r="B29" s="74"/>
      <c r="C29" s="95" t="s">
        <v>913</v>
      </c>
      <c r="D29" s="96" t="s">
        <v>83</v>
      </c>
      <c r="E29" s="97" t="s">
        <v>878</v>
      </c>
      <c r="F29" s="98" t="s">
        <v>84</v>
      </c>
      <c r="G29" s="97">
        <v>44499.916666666664</v>
      </c>
      <c r="H29" s="99" t="s">
        <v>879</v>
      </c>
      <c r="I29" s="100">
        <v>45</v>
      </c>
      <c r="J29" s="100">
        <v>32</v>
      </c>
      <c r="K29" s="100">
        <v>30</v>
      </c>
      <c r="L29" s="100">
        <v>9</v>
      </c>
      <c r="M29" s="101">
        <v>10.8</v>
      </c>
      <c r="N29" s="107">
        <v>10.8</v>
      </c>
      <c r="O29" s="64">
        <v>7000</v>
      </c>
      <c r="P29" s="65">
        <f>Table224578910112345678910111213141516171819202122232425262728293031323334353637383940414243444546474849505152[[#This Row],[PEMBULATAN]]*O29</f>
        <v>75600</v>
      </c>
    </row>
    <row r="30" spans="1:16" ht="26.25" customHeight="1" x14ac:dyDescent="0.2">
      <c r="A30" s="14"/>
      <c r="B30" s="74"/>
      <c r="C30" s="95" t="s">
        <v>914</v>
      </c>
      <c r="D30" s="96" t="s">
        <v>83</v>
      </c>
      <c r="E30" s="97" t="s">
        <v>878</v>
      </c>
      <c r="F30" s="98" t="s">
        <v>84</v>
      </c>
      <c r="G30" s="97">
        <v>44499.916666666664</v>
      </c>
      <c r="H30" s="99" t="s">
        <v>879</v>
      </c>
      <c r="I30" s="100">
        <v>45</v>
      </c>
      <c r="J30" s="100">
        <v>32</v>
      </c>
      <c r="K30" s="100">
        <v>30</v>
      </c>
      <c r="L30" s="100">
        <v>9</v>
      </c>
      <c r="M30" s="101">
        <v>10.8</v>
      </c>
      <c r="N30" s="107">
        <v>10.8</v>
      </c>
      <c r="O30" s="64">
        <v>7000</v>
      </c>
      <c r="P30" s="65">
        <f>Table224578910112345678910111213141516171819202122232425262728293031323334353637383940414243444546474849505152[[#This Row],[PEMBULATAN]]*O30</f>
        <v>75600</v>
      </c>
    </row>
    <row r="31" spans="1:16" ht="26.25" customHeight="1" x14ac:dyDescent="0.2">
      <c r="A31" s="14"/>
      <c r="B31" s="74"/>
      <c r="C31" s="95" t="s">
        <v>915</v>
      </c>
      <c r="D31" s="96" t="s">
        <v>83</v>
      </c>
      <c r="E31" s="97" t="s">
        <v>878</v>
      </c>
      <c r="F31" s="98" t="s">
        <v>84</v>
      </c>
      <c r="G31" s="97">
        <v>44499.916666666664</v>
      </c>
      <c r="H31" s="99" t="s">
        <v>879</v>
      </c>
      <c r="I31" s="100">
        <v>45</v>
      </c>
      <c r="J31" s="100">
        <v>32</v>
      </c>
      <c r="K31" s="100">
        <v>30</v>
      </c>
      <c r="L31" s="100">
        <v>9</v>
      </c>
      <c r="M31" s="101">
        <v>10.8</v>
      </c>
      <c r="N31" s="107">
        <v>10.8</v>
      </c>
      <c r="O31" s="64">
        <v>7000</v>
      </c>
      <c r="P31" s="65">
        <f>Table224578910112345678910111213141516171819202122232425262728293031323334353637383940414243444546474849505152[[#This Row],[PEMBULATAN]]*O31</f>
        <v>75600</v>
      </c>
    </row>
    <row r="32" spans="1:16" ht="26.25" customHeight="1" x14ac:dyDescent="0.2">
      <c r="A32" s="14"/>
      <c r="B32" s="74"/>
      <c r="C32" s="95" t="s">
        <v>916</v>
      </c>
      <c r="D32" s="96" t="s">
        <v>83</v>
      </c>
      <c r="E32" s="97" t="s">
        <v>878</v>
      </c>
      <c r="F32" s="98" t="s">
        <v>84</v>
      </c>
      <c r="G32" s="97">
        <v>44499.916666666664</v>
      </c>
      <c r="H32" s="99" t="s">
        <v>879</v>
      </c>
      <c r="I32" s="100">
        <v>45</v>
      </c>
      <c r="J32" s="100">
        <v>32</v>
      </c>
      <c r="K32" s="100">
        <v>30</v>
      </c>
      <c r="L32" s="100">
        <v>9</v>
      </c>
      <c r="M32" s="101">
        <v>10.8</v>
      </c>
      <c r="N32" s="107">
        <v>10.8</v>
      </c>
      <c r="O32" s="64">
        <v>7000</v>
      </c>
      <c r="P32" s="65">
        <f>Table224578910112345678910111213141516171819202122232425262728293031323334353637383940414243444546474849505152[[#This Row],[PEMBULATAN]]*O32</f>
        <v>75600</v>
      </c>
    </row>
    <row r="33" spans="1:16" ht="26.25" customHeight="1" x14ac:dyDescent="0.2">
      <c r="A33" s="14"/>
      <c r="B33" s="74"/>
      <c r="C33" s="95" t="s">
        <v>917</v>
      </c>
      <c r="D33" s="96" t="s">
        <v>83</v>
      </c>
      <c r="E33" s="97" t="s">
        <v>878</v>
      </c>
      <c r="F33" s="98" t="s">
        <v>84</v>
      </c>
      <c r="G33" s="97">
        <v>44499.916666666664</v>
      </c>
      <c r="H33" s="99" t="s">
        <v>879</v>
      </c>
      <c r="I33" s="100">
        <v>38</v>
      </c>
      <c r="J33" s="100">
        <v>23</v>
      </c>
      <c r="K33" s="100">
        <v>20</v>
      </c>
      <c r="L33" s="100">
        <v>5</v>
      </c>
      <c r="M33" s="101">
        <v>4.37</v>
      </c>
      <c r="N33" s="107">
        <v>5</v>
      </c>
      <c r="O33" s="64">
        <v>7000</v>
      </c>
      <c r="P33" s="65">
        <f>Table224578910112345678910111213141516171819202122232425262728293031323334353637383940414243444546474849505152[[#This Row],[PEMBULATAN]]*O33</f>
        <v>35000</v>
      </c>
    </row>
    <row r="34" spans="1:16" ht="22.5" customHeight="1" x14ac:dyDescent="0.2">
      <c r="A34" s="143" t="s">
        <v>30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5"/>
      <c r="M34" s="78">
        <f>SUBTOTAL(109,Table224578910112345678910111213141516171819202122232425262728293031323334353637383940414243444546474849505152[KG VOLUME])</f>
        <v>300.85525000000007</v>
      </c>
      <c r="N34" s="68">
        <f>SUM(N3:N33)</f>
        <v>498.07825000000003</v>
      </c>
      <c r="O34" s="146">
        <f>SUM(P3:P33)</f>
        <v>3486547.75</v>
      </c>
      <c r="P34" s="147"/>
    </row>
    <row r="35" spans="1:16" ht="18" customHeight="1" x14ac:dyDescent="0.2">
      <c r="A35" s="85"/>
      <c r="B35" s="56" t="s">
        <v>42</v>
      </c>
      <c r="C35" s="55"/>
      <c r="D35" s="57" t="s">
        <v>43</v>
      </c>
      <c r="E35" s="85"/>
      <c r="F35" s="85"/>
      <c r="G35" s="85"/>
      <c r="H35" s="85"/>
      <c r="I35" s="85"/>
      <c r="J35" s="85"/>
      <c r="K35" s="85"/>
      <c r="L35" s="85"/>
      <c r="M35" s="86"/>
      <c r="N35" s="87" t="s">
        <v>52</v>
      </c>
      <c r="O35" s="88"/>
      <c r="P35" s="88">
        <v>0</v>
      </c>
    </row>
    <row r="36" spans="1:16" ht="18" customHeight="1" thickBot="1" x14ac:dyDescent="0.25">
      <c r="A36" s="85"/>
      <c r="B36" s="56"/>
      <c r="C36" s="55"/>
      <c r="D36" s="57"/>
      <c r="E36" s="85"/>
      <c r="F36" s="85"/>
      <c r="G36" s="85"/>
      <c r="H36" s="85"/>
      <c r="I36" s="85"/>
      <c r="J36" s="85"/>
      <c r="K36" s="85"/>
      <c r="L36" s="85"/>
      <c r="M36" s="86"/>
      <c r="N36" s="89" t="s">
        <v>53</v>
      </c>
      <c r="O36" s="90"/>
      <c r="P36" s="90">
        <f>O34-P35</f>
        <v>3486547.75</v>
      </c>
    </row>
    <row r="37" spans="1:16" ht="18" customHeight="1" x14ac:dyDescent="0.2">
      <c r="A37" s="11"/>
      <c r="H37" s="63"/>
      <c r="N37" s="62" t="s">
        <v>31</v>
      </c>
      <c r="P37" s="69">
        <f>P36*1%</f>
        <v>34865.477500000001</v>
      </c>
    </row>
    <row r="38" spans="1:16" ht="18" customHeight="1" thickBot="1" x14ac:dyDescent="0.25">
      <c r="A38" s="11"/>
      <c r="H38" s="63"/>
      <c r="N38" s="62" t="s">
        <v>54</v>
      </c>
      <c r="P38" s="71">
        <f>P36*2%</f>
        <v>69730.955000000002</v>
      </c>
    </row>
    <row r="39" spans="1:16" ht="18" customHeight="1" x14ac:dyDescent="0.2">
      <c r="A39" s="11"/>
      <c r="H39" s="63"/>
      <c r="N39" s="66" t="s">
        <v>32</v>
      </c>
      <c r="O39" s="67"/>
      <c r="P39" s="70">
        <f>P36+P37-P38</f>
        <v>3451682.2725</v>
      </c>
    </row>
    <row r="41" spans="1:16" x14ac:dyDescent="0.2">
      <c r="A41" s="11"/>
      <c r="H41" s="63"/>
      <c r="P41" s="71"/>
    </row>
    <row r="42" spans="1:16" x14ac:dyDescent="0.2">
      <c r="A42" s="11"/>
      <c r="H42" s="63"/>
      <c r="O42" s="58"/>
      <c r="P42" s="71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</sheetData>
  <mergeCells count="2">
    <mergeCell ref="A34:L34"/>
    <mergeCell ref="O34:P34"/>
  </mergeCells>
  <conditionalFormatting sqref="B3">
    <cfRule type="duplicateValues" dxfId="82" priority="2"/>
  </conditionalFormatting>
  <conditionalFormatting sqref="B4:B33">
    <cfRule type="duplicateValues" dxfId="81" priority="8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404004</v>
      </c>
      <c r="B3" s="73" t="s">
        <v>918</v>
      </c>
      <c r="C3" s="9" t="s">
        <v>919</v>
      </c>
      <c r="D3" s="75" t="s">
        <v>83</v>
      </c>
      <c r="E3" s="13">
        <v>44499</v>
      </c>
      <c r="F3" s="75" t="s">
        <v>84</v>
      </c>
      <c r="G3" s="13">
        <v>44499.916666666664</v>
      </c>
      <c r="H3" s="10" t="s">
        <v>879</v>
      </c>
      <c r="I3" s="1">
        <v>40</v>
      </c>
      <c r="J3" s="1">
        <v>30</v>
      </c>
      <c r="K3" s="1">
        <v>20</v>
      </c>
      <c r="L3" s="1">
        <v>11</v>
      </c>
      <c r="M3" s="79">
        <v>6</v>
      </c>
      <c r="N3" s="8">
        <v>11</v>
      </c>
      <c r="O3" s="64">
        <v>7000</v>
      </c>
      <c r="P3" s="65">
        <f>Table22457891011234567891011121314151617181920212223242526272829303132333435363738394041424344454647484950515253[[#This Row],[PEMBULATAN]]*O3</f>
        <v>77000</v>
      </c>
    </row>
    <row r="4" spans="1:16" ht="22.5" customHeight="1" x14ac:dyDescent="0.2">
      <c r="A4" s="143" t="s">
        <v>30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8">
        <f>SUBTOTAL(109,Table22457891011234567891011121314151617181920212223242526272829303132333435363738394041424344454647484950515253[KG VOLUME])</f>
        <v>6</v>
      </c>
      <c r="N4" s="68">
        <f>SUM(N3:N3)</f>
        <v>11</v>
      </c>
      <c r="O4" s="146">
        <f>SUM(P3:P3)</f>
        <v>77000</v>
      </c>
      <c r="P4" s="147"/>
    </row>
    <row r="5" spans="1:16" ht="18" customHeight="1" x14ac:dyDescent="0.2">
      <c r="A5" s="85"/>
      <c r="B5" s="56" t="s">
        <v>42</v>
      </c>
      <c r="C5" s="55"/>
      <c r="D5" s="57" t="s">
        <v>43</v>
      </c>
      <c r="E5" s="85"/>
      <c r="F5" s="85"/>
      <c r="G5" s="85"/>
      <c r="H5" s="85"/>
      <c r="I5" s="85"/>
      <c r="J5" s="85"/>
      <c r="K5" s="85"/>
      <c r="L5" s="85"/>
      <c r="M5" s="86"/>
      <c r="N5" s="87" t="s">
        <v>52</v>
      </c>
      <c r="O5" s="88"/>
      <c r="P5" s="88">
        <v>0</v>
      </c>
    </row>
    <row r="6" spans="1:16" ht="18" customHeight="1" thickBot="1" x14ac:dyDescent="0.25">
      <c r="A6" s="85"/>
      <c r="B6" s="56"/>
      <c r="C6" s="55"/>
      <c r="D6" s="57"/>
      <c r="E6" s="85"/>
      <c r="F6" s="85"/>
      <c r="G6" s="85"/>
      <c r="H6" s="85"/>
      <c r="I6" s="85"/>
      <c r="J6" s="85"/>
      <c r="K6" s="85"/>
      <c r="L6" s="85"/>
      <c r="M6" s="86"/>
      <c r="N6" s="89" t="s">
        <v>53</v>
      </c>
      <c r="O6" s="90"/>
      <c r="P6" s="90">
        <f>O4-P5</f>
        <v>77000</v>
      </c>
    </row>
    <row r="7" spans="1:16" ht="18" customHeight="1" x14ac:dyDescent="0.2">
      <c r="A7" s="11"/>
      <c r="H7" s="63"/>
      <c r="N7" s="62" t="s">
        <v>31</v>
      </c>
      <c r="P7" s="69">
        <f>P6*1%</f>
        <v>770</v>
      </c>
    </row>
    <row r="8" spans="1:16" ht="18" customHeight="1" thickBot="1" x14ac:dyDescent="0.25">
      <c r="A8" s="11"/>
      <c r="H8" s="63"/>
      <c r="N8" s="62" t="s">
        <v>54</v>
      </c>
      <c r="P8" s="71">
        <f>P6*2%</f>
        <v>1540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76230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65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8"/>
  <sheetViews>
    <sheetView zoomScale="110" zoomScaleNormal="110" workbookViewId="0">
      <pane xSplit="3" ySplit="2" topLeftCell="D22" activePane="bottomRight" state="frozen"/>
      <selection pane="topRight" activeCell="B1" sqref="B1"/>
      <selection pane="bottomLeft" activeCell="A3" sqref="A3"/>
      <selection pane="bottomRight" activeCell="O29" sqref="O29"/>
    </sheetView>
  </sheetViews>
  <sheetFormatPr defaultRowHeight="15" x14ac:dyDescent="0.2"/>
  <cols>
    <col min="1" max="1" width="8" style="4" customWidth="1"/>
    <col min="2" max="2" width="21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30" customHeight="1" x14ac:dyDescent="0.2">
      <c r="A3" s="82">
        <v>402310</v>
      </c>
      <c r="B3" s="73" t="s">
        <v>920</v>
      </c>
      <c r="C3" s="9" t="s">
        <v>921</v>
      </c>
      <c r="D3" s="75" t="s">
        <v>83</v>
      </c>
      <c r="E3" s="13">
        <v>44499</v>
      </c>
      <c r="F3" s="75" t="s">
        <v>84</v>
      </c>
      <c r="G3" s="13">
        <v>44499.916666666664</v>
      </c>
      <c r="H3" s="10" t="s">
        <v>879</v>
      </c>
      <c r="I3" s="1">
        <v>41</v>
      </c>
      <c r="J3" s="1">
        <v>38</v>
      </c>
      <c r="K3" s="1">
        <v>17</v>
      </c>
      <c r="L3" s="1">
        <v>6</v>
      </c>
      <c r="M3" s="79">
        <v>6.6215000000000002</v>
      </c>
      <c r="N3" s="103">
        <v>6.6215000000000002</v>
      </c>
      <c r="O3" s="64">
        <v>7000</v>
      </c>
      <c r="P3" s="65">
        <f>Table2245789101123456789101112131415161718192021222324252627282930313233343536373839404142434445464748495051525354[[#This Row],[PEMBULATAN]]*O3</f>
        <v>46350.5</v>
      </c>
    </row>
    <row r="4" spans="1:16" ht="30" customHeight="1" x14ac:dyDescent="0.2">
      <c r="A4" s="14"/>
      <c r="B4" s="74"/>
      <c r="C4" s="9" t="s">
        <v>922</v>
      </c>
      <c r="D4" s="75" t="s">
        <v>83</v>
      </c>
      <c r="E4" s="13">
        <v>44499</v>
      </c>
      <c r="F4" s="75" t="s">
        <v>84</v>
      </c>
      <c r="G4" s="13">
        <v>44499.916666666664</v>
      </c>
      <c r="H4" s="10" t="s">
        <v>879</v>
      </c>
      <c r="I4" s="1">
        <v>44</v>
      </c>
      <c r="J4" s="1">
        <v>28</v>
      </c>
      <c r="K4" s="1">
        <v>14</v>
      </c>
      <c r="L4" s="1">
        <v>6</v>
      </c>
      <c r="M4" s="79">
        <v>4.3120000000000003</v>
      </c>
      <c r="N4" s="103">
        <v>6</v>
      </c>
      <c r="O4" s="64">
        <v>7000</v>
      </c>
      <c r="P4" s="65">
        <f>Table2245789101123456789101112131415161718192021222324252627282930313233343536373839404142434445464748495051525354[[#This Row],[PEMBULATAN]]*O4</f>
        <v>42000</v>
      </c>
    </row>
    <row r="5" spans="1:16" ht="30" customHeight="1" x14ac:dyDescent="0.2">
      <c r="A5" s="14"/>
      <c r="B5" s="74"/>
      <c r="C5" s="95" t="s">
        <v>923</v>
      </c>
      <c r="D5" s="96" t="s">
        <v>83</v>
      </c>
      <c r="E5" s="97">
        <v>44499</v>
      </c>
      <c r="F5" s="98" t="s">
        <v>84</v>
      </c>
      <c r="G5" s="97">
        <v>44499.916666666664</v>
      </c>
      <c r="H5" s="99" t="s">
        <v>879</v>
      </c>
      <c r="I5" s="100">
        <v>35</v>
      </c>
      <c r="J5" s="100">
        <v>22</v>
      </c>
      <c r="K5" s="100">
        <v>21</v>
      </c>
      <c r="L5" s="100">
        <v>5</v>
      </c>
      <c r="M5" s="101">
        <v>4.0425000000000004</v>
      </c>
      <c r="N5" s="107">
        <v>5</v>
      </c>
      <c r="O5" s="64">
        <v>7000</v>
      </c>
      <c r="P5" s="65">
        <f>Table2245789101123456789101112131415161718192021222324252627282930313233343536373839404142434445464748495051525354[[#This Row],[PEMBULATAN]]*O5</f>
        <v>35000</v>
      </c>
    </row>
    <row r="6" spans="1:16" ht="30" customHeight="1" x14ac:dyDescent="0.2">
      <c r="A6" s="14"/>
      <c r="B6" s="74"/>
      <c r="C6" s="95" t="s">
        <v>924</v>
      </c>
      <c r="D6" s="96" t="s">
        <v>83</v>
      </c>
      <c r="E6" s="97">
        <v>44499</v>
      </c>
      <c r="F6" s="98" t="s">
        <v>84</v>
      </c>
      <c r="G6" s="97">
        <v>44499.916666666664</v>
      </c>
      <c r="H6" s="99" t="s">
        <v>879</v>
      </c>
      <c r="I6" s="100">
        <v>63</v>
      </c>
      <c r="J6" s="100">
        <v>55</v>
      </c>
      <c r="K6" s="100">
        <v>30</v>
      </c>
      <c r="L6" s="100">
        <v>16</v>
      </c>
      <c r="M6" s="101">
        <v>25.987500000000001</v>
      </c>
      <c r="N6" s="107">
        <v>25.987500000000001</v>
      </c>
      <c r="O6" s="64">
        <v>7000</v>
      </c>
      <c r="P6" s="65">
        <f>Table2245789101123456789101112131415161718192021222324252627282930313233343536373839404142434445464748495051525354[[#This Row],[PEMBULATAN]]*O6</f>
        <v>181912.5</v>
      </c>
    </row>
    <row r="7" spans="1:16" ht="30" customHeight="1" x14ac:dyDescent="0.2">
      <c r="A7" s="14"/>
      <c r="B7" s="74"/>
      <c r="C7" s="95" t="s">
        <v>925</v>
      </c>
      <c r="D7" s="96" t="s">
        <v>83</v>
      </c>
      <c r="E7" s="97">
        <v>44499</v>
      </c>
      <c r="F7" s="98" t="s">
        <v>84</v>
      </c>
      <c r="G7" s="97">
        <v>44499.916666666664</v>
      </c>
      <c r="H7" s="99" t="s">
        <v>879</v>
      </c>
      <c r="I7" s="100">
        <v>64</v>
      </c>
      <c r="J7" s="100">
        <v>45</v>
      </c>
      <c r="K7" s="100">
        <v>13</v>
      </c>
      <c r="L7" s="100">
        <v>6</v>
      </c>
      <c r="M7" s="101">
        <v>9.36</v>
      </c>
      <c r="N7" s="107">
        <v>10</v>
      </c>
      <c r="O7" s="64">
        <v>7000</v>
      </c>
      <c r="P7" s="65">
        <f>Table2245789101123456789101112131415161718192021222324252627282930313233343536373839404142434445464748495051525354[[#This Row],[PEMBULATAN]]*O7</f>
        <v>70000</v>
      </c>
    </row>
    <row r="8" spans="1:16" ht="30" customHeight="1" x14ac:dyDescent="0.2">
      <c r="A8" s="14"/>
      <c r="B8" s="74"/>
      <c r="C8" s="95" t="s">
        <v>926</v>
      </c>
      <c r="D8" s="96" t="s">
        <v>83</v>
      </c>
      <c r="E8" s="97">
        <v>44499</v>
      </c>
      <c r="F8" s="98" t="s">
        <v>84</v>
      </c>
      <c r="G8" s="97">
        <v>44499.916666666664</v>
      </c>
      <c r="H8" s="99" t="s">
        <v>879</v>
      </c>
      <c r="I8" s="100">
        <v>90</v>
      </c>
      <c r="J8" s="100">
        <v>84</v>
      </c>
      <c r="K8" s="100">
        <v>10</v>
      </c>
      <c r="L8" s="100">
        <v>10</v>
      </c>
      <c r="M8" s="101">
        <v>18.899999999999999</v>
      </c>
      <c r="N8" s="107">
        <v>18.899999999999999</v>
      </c>
      <c r="O8" s="64">
        <v>7000</v>
      </c>
      <c r="P8" s="65">
        <f>Table2245789101123456789101112131415161718192021222324252627282930313233343536373839404142434445464748495051525354[[#This Row],[PEMBULATAN]]*O8</f>
        <v>132300</v>
      </c>
    </row>
    <row r="9" spans="1:16" ht="30" customHeight="1" x14ac:dyDescent="0.2">
      <c r="A9" s="14"/>
      <c r="B9" s="74"/>
      <c r="C9" s="95" t="s">
        <v>927</v>
      </c>
      <c r="D9" s="96" t="s">
        <v>83</v>
      </c>
      <c r="E9" s="97">
        <v>44499</v>
      </c>
      <c r="F9" s="98" t="s">
        <v>84</v>
      </c>
      <c r="G9" s="97">
        <v>44499.916666666664</v>
      </c>
      <c r="H9" s="99" t="s">
        <v>879</v>
      </c>
      <c r="I9" s="100">
        <v>73</v>
      </c>
      <c r="J9" s="100">
        <v>63</v>
      </c>
      <c r="K9" s="100">
        <v>33</v>
      </c>
      <c r="L9" s="100">
        <v>11</v>
      </c>
      <c r="M9" s="101">
        <v>37.941749999999999</v>
      </c>
      <c r="N9" s="107">
        <v>37.941749999999999</v>
      </c>
      <c r="O9" s="64">
        <v>7000</v>
      </c>
      <c r="P9" s="65">
        <f>Table2245789101123456789101112131415161718192021222324252627282930313233343536373839404142434445464748495051525354[[#This Row],[PEMBULATAN]]*O9</f>
        <v>265592.25</v>
      </c>
    </row>
    <row r="10" spans="1:16" ht="30" customHeight="1" x14ac:dyDescent="0.2">
      <c r="A10" s="14"/>
      <c r="B10" s="74"/>
      <c r="C10" s="95" t="s">
        <v>928</v>
      </c>
      <c r="D10" s="96" t="s">
        <v>83</v>
      </c>
      <c r="E10" s="97">
        <v>44499</v>
      </c>
      <c r="F10" s="98" t="s">
        <v>84</v>
      </c>
      <c r="G10" s="97">
        <v>44499.916666666664</v>
      </c>
      <c r="H10" s="99" t="s">
        <v>879</v>
      </c>
      <c r="I10" s="100">
        <v>59</v>
      </c>
      <c r="J10" s="100">
        <v>56</v>
      </c>
      <c r="K10" s="100">
        <v>30</v>
      </c>
      <c r="L10" s="100">
        <v>25</v>
      </c>
      <c r="M10" s="101">
        <v>24.78</v>
      </c>
      <c r="N10" s="107">
        <v>25</v>
      </c>
      <c r="O10" s="64">
        <v>7000</v>
      </c>
      <c r="P10" s="65">
        <f>Table2245789101123456789101112131415161718192021222324252627282930313233343536373839404142434445464748495051525354[[#This Row],[PEMBULATAN]]*O10</f>
        <v>175000</v>
      </c>
    </row>
    <row r="11" spans="1:16" ht="30" customHeight="1" x14ac:dyDescent="0.2">
      <c r="A11" s="14"/>
      <c r="B11" s="74"/>
      <c r="C11" s="95" t="s">
        <v>929</v>
      </c>
      <c r="D11" s="96" t="s">
        <v>83</v>
      </c>
      <c r="E11" s="97">
        <v>44499</v>
      </c>
      <c r="F11" s="98" t="s">
        <v>84</v>
      </c>
      <c r="G11" s="97">
        <v>44499.916666666664</v>
      </c>
      <c r="H11" s="99" t="s">
        <v>879</v>
      </c>
      <c r="I11" s="100">
        <v>54</v>
      </c>
      <c r="J11" s="100">
        <v>49</v>
      </c>
      <c r="K11" s="100">
        <v>48</v>
      </c>
      <c r="L11" s="100">
        <v>10</v>
      </c>
      <c r="M11" s="101">
        <v>31.751999999999999</v>
      </c>
      <c r="N11" s="107">
        <v>31.751999999999999</v>
      </c>
      <c r="O11" s="64">
        <v>7000</v>
      </c>
      <c r="P11" s="65">
        <f>Table2245789101123456789101112131415161718192021222324252627282930313233343536373839404142434445464748495051525354[[#This Row],[PEMBULATAN]]*O11</f>
        <v>222264</v>
      </c>
    </row>
    <row r="12" spans="1:16" ht="30" customHeight="1" x14ac:dyDescent="0.2">
      <c r="A12" s="14"/>
      <c r="B12" s="74"/>
      <c r="C12" s="95" t="s">
        <v>930</v>
      </c>
      <c r="D12" s="96" t="s">
        <v>83</v>
      </c>
      <c r="E12" s="97">
        <v>44499</v>
      </c>
      <c r="F12" s="98" t="s">
        <v>84</v>
      </c>
      <c r="G12" s="97">
        <v>44499.916666666664</v>
      </c>
      <c r="H12" s="99" t="s">
        <v>879</v>
      </c>
      <c r="I12" s="100">
        <v>32</v>
      </c>
      <c r="J12" s="100">
        <v>24</v>
      </c>
      <c r="K12" s="100">
        <v>28</v>
      </c>
      <c r="L12" s="100">
        <v>10</v>
      </c>
      <c r="M12" s="101">
        <v>5.3760000000000003</v>
      </c>
      <c r="N12" s="107">
        <v>10</v>
      </c>
      <c r="O12" s="64">
        <v>7000</v>
      </c>
      <c r="P12" s="65">
        <f>Table2245789101123456789101112131415161718192021222324252627282930313233343536373839404142434445464748495051525354[[#This Row],[PEMBULATAN]]*O12</f>
        <v>70000</v>
      </c>
    </row>
    <row r="13" spans="1:16" ht="30" customHeight="1" x14ac:dyDescent="0.2">
      <c r="A13" s="14"/>
      <c r="B13" s="74"/>
      <c r="C13" s="95" t="s">
        <v>931</v>
      </c>
      <c r="D13" s="96" t="s">
        <v>83</v>
      </c>
      <c r="E13" s="97">
        <v>44499</v>
      </c>
      <c r="F13" s="98" t="s">
        <v>84</v>
      </c>
      <c r="G13" s="97">
        <v>44499.916666666664</v>
      </c>
      <c r="H13" s="99" t="s">
        <v>879</v>
      </c>
      <c r="I13" s="100">
        <v>45</v>
      </c>
      <c r="J13" s="100">
        <v>35</v>
      </c>
      <c r="K13" s="100">
        <v>18</v>
      </c>
      <c r="L13" s="100">
        <v>10</v>
      </c>
      <c r="M13" s="101">
        <v>7.0875000000000004</v>
      </c>
      <c r="N13" s="107">
        <v>10</v>
      </c>
      <c r="O13" s="64">
        <v>7000</v>
      </c>
      <c r="P13" s="65">
        <f>Table2245789101123456789101112131415161718192021222324252627282930313233343536373839404142434445464748495051525354[[#This Row],[PEMBULATAN]]*O13</f>
        <v>70000</v>
      </c>
    </row>
    <row r="14" spans="1:16" ht="30" customHeight="1" x14ac:dyDescent="0.2">
      <c r="A14" s="14"/>
      <c r="B14" s="74"/>
      <c r="C14" s="95" t="s">
        <v>932</v>
      </c>
      <c r="D14" s="96" t="s">
        <v>83</v>
      </c>
      <c r="E14" s="97">
        <v>44499</v>
      </c>
      <c r="F14" s="98" t="s">
        <v>84</v>
      </c>
      <c r="G14" s="97">
        <v>44499.916666666664</v>
      </c>
      <c r="H14" s="99" t="s">
        <v>879</v>
      </c>
      <c r="I14" s="100">
        <v>48</v>
      </c>
      <c r="J14" s="100">
        <v>21</v>
      </c>
      <c r="K14" s="100">
        <v>18</v>
      </c>
      <c r="L14" s="100">
        <v>9</v>
      </c>
      <c r="M14" s="101">
        <v>4.5359999999999996</v>
      </c>
      <c r="N14" s="107">
        <v>9</v>
      </c>
      <c r="O14" s="64">
        <v>7000</v>
      </c>
      <c r="P14" s="65">
        <f>Table2245789101123456789101112131415161718192021222324252627282930313233343536373839404142434445464748495051525354[[#This Row],[PEMBULATAN]]*O14</f>
        <v>63000</v>
      </c>
    </row>
    <row r="15" spans="1:16" ht="30" customHeight="1" x14ac:dyDescent="0.2">
      <c r="A15" s="14"/>
      <c r="B15" s="74"/>
      <c r="C15" s="95" t="s">
        <v>933</v>
      </c>
      <c r="D15" s="96" t="s">
        <v>83</v>
      </c>
      <c r="E15" s="97">
        <v>44499</v>
      </c>
      <c r="F15" s="98" t="s">
        <v>84</v>
      </c>
      <c r="G15" s="97">
        <v>44499.916666666664</v>
      </c>
      <c r="H15" s="99" t="s">
        <v>879</v>
      </c>
      <c r="I15" s="100">
        <v>41</v>
      </c>
      <c r="J15" s="100">
        <v>31</v>
      </c>
      <c r="K15" s="100">
        <v>30</v>
      </c>
      <c r="L15" s="100">
        <v>7</v>
      </c>
      <c r="M15" s="101">
        <v>9.5325000000000006</v>
      </c>
      <c r="N15" s="107">
        <v>9.5325000000000006</v>
      </c>
      <c r="O15" s="64">
        <v>7000</v>
      </c>
      <c r="P15" s="65">
        <f>Table2245789101123456789101112131415161718192021222324252627282930313233343536373839404142434445464748495051525354[[#This Row],[PEMBULATAN]]*O15</f>
        <v>66727.5</v>
      </c>
    </row>
    <row r="16" spans="1:16" ht="30" customHeight="1" x14ac:dyDescent="0.2">
      <c r="A16" s="14"/>
      <c r="B16" s="74"/>
      <c r="C16" s="95" t="s">
        <v>934</v>
      </c>
      <c r="D16" s="96" t="s">
        <v>83</v>
      </c>
      <c r="E16" s="97">
        <v>44499</v>
      </c>
      <c r="F16" s="98" t="s">
        <v>84</v>
      </c>
      <c r="G16" s="97">
        <v>44499.916666666664</v>
      </c>
      <c r="H16" s="99" t="s">
        <v>879</v>
      </c>
      <c r="I16" s="100">
        <v>49</v>
      </c>
      <c r="J16" s="100">
        <v>25</v>
      </c>
      <c r="K16" s="100">
        <v>46</v>
      </c>
      <c r="L16" s="100">
        <v>17</v>
      </c>
      <c r="M16" s="101">
        <v>14.0875</v>
      </c>
      <c r="N16" s="107">
        <v>17</v>
      </c>
      <c r="O16" s="64">
        <v>7000</v>
      </c>
      <c r="P16" s="65">
        <f>Table2245789101123456789101112131415161718192021222324252627282930313233343536373839404142434445464748495051525354[[#This Row],[PEMBULATAN]]*O16</f>
        <v>119000</v>
      </c>
    </row>
    <row r="17" spans="1:16" ht="30" customHeight="1" x14ac:dyDescent="0.2">
      <c r="A17" s="14"/>
      <c r="B17" s="74"/>
      <c r="C17" s="95" t="s">
        <v>935</v>
      </c>
      <c r="D17" s="96" t="s">
        <v>83</v>
      </c>
      <c r="E17" s="97">
        <v>44499</v>
      </c>
      <c r="F17" s="98" t="s">
        <v>84</v>
      </c>
      <c r="G17" s="97">
        <v>44499.916666666664</v>
      </c>
      <c r="H17" s="99" t="s">
        <v>879</v>
      </c>
      <c r="I17" s="100">
        <v>48</v>
      </c>
      <c r="J17" s="100">
        <v>48</v>
      </c>
      <c r="K17" s="100">
        <v>25</v>
      </c>
      <c r="L17" s="100">
        <v>15</v>
      </c>
      <c r="M17" s="101">
        <v>14.4</v>
      </c>
      <c r="N17" s="107">
        <v>15</v>
      </c>
      <c r="O17" s="64">
        <v>7000</v>
      </c>
      <c r="P17" s="65">
        <f>Table2245789101123456789101112131415161718192021222324252627282930313233343536373839404142434445464748495051525354[[#This Row],[PEMBULATAN]]*O17</f>
        <v>105000</v>
      </c>
    </row>
    <row r="18" spans="1:16" ht="30" customHeight="1" x14ac:dyDescent="0.2">
      <c r="A18" s="14"/>
      <c r="B18" s="74"/>
      <c r="C18" s="95" t="s">
        <v>936</v>
      </c>
      <c r="D18" s="96" t="s">
        <v>83</v>
      </c>
      <c r="E18" s="97">
        <v>44499</v>
      </c>
      <c r="F18" s="98" t="s">
        <v>84</v>
      </c>
      <c r="G18" s="97">
        <v>44499.916666666664</v>
      </c>
      <c r="H18" s="99" t="s">
        <v>879</v>
      </c>
      <c r="I18" s="100">
        <v>58</v>
      </c>
      <c r="J18" s="100">
        <v>45</v>
      </c>
      <c r="K18" s="100">
        <v>25</v>
      </c>
      <c r="L18" s="100">
        <v>19</v>
      </c>
      <c r="M18" s="101">
        <v>16.3125</v>
      </c>
      <c r="N18" s="107">
        <v>19</v>
      </c>
      <c r="O18" s="64">
        <v>7000</v>
      </c>
      <c r="P18" s="65">
        <f>Table2245789101123456789101112131415161718192021222324252627282930313233343536373839404142434445464748495051525354[[#This Row],[PEMBULATAN]]*O18</f>
        <v>133000</v>
      </c>
    </row>
    <row r="19" spans="1:16" ht="30" customHeight="1" x14ac:dyDescent="0.2">
      <c r="A19" s="14"/>
      <c r="B19" s="74"/>
      <c r="C19" s="95" t="s">
        <v>937</v>
      </c>
      <c r="D19" s="96" t="s">
        <v>83</v>
      </c>
      <c r="E19" s="97">
        <v>44499</v>
      </c>
      <c r="F19" s="98" t="s">
        <v>84</v>
      </c>
      <c r="G19" s="97">
        <v>44499.916666666664</v>
      </c>
      <c r="H19" s="99" t="s">
        <v>879</v>
      </c>
      <c r="I19" s="100">
        <v>76</v>
      </c>
      <c r="J19" s="100">
        <v>37</v>
      </c>
      <c r="K19" s="100">
        <v>48</v>
      </c>
      <c r="L19" s="100">
        <v>29</v>
      </c>
      <c r="M19" s="101">
        <v>33.744</v>
      </c>
      <c r="N19" s="107">
        <v>33.744</v>
      </c>
      <c r="O19" s="64">
        <v>7000</v>
      </c>
      <c r="P19" s="65">
        <f>Table2245789101123456789101112131415161718192021222324252627282930313233343536373839404142434445464748495051525354[[#This Row],[PEMBULATAN]]*O19</f>
        <v>236208</v>
      </c>
    </row>
    <row r="20" spans="1:16" ht="30" customHeight="1" x14ac:dyDescent="0.2">
      <c r="A20" s="14"/>
      <c r="B20" s="74"/>
      <c r="C20" s="95" t="s">
        <v>938</v>
      </c>
      <c r="D20" s="96" t="s">
        <v>83</v>
      </c>
      <c r="E20" s="97">
        <v>44499</v>
      </c>
      <c r="F20" s="98" t="s">
        <v>84</v>
      </c>
      <c r="G20" s="97">
        <v>44499.916666666664</v>
      </c>
      <c r="H20" s="99" t="s">
        <v>879</v>
      </c>
      <c r="I20" s="100">
        <v>85</v>
      </c>
      <c r="J20" s="100">
        <v>65</v>
      </c>
      <c r="K20" s="100">
        <v>8</v>
      </c>
      <c r="L20" s="100">
        <v>16</v>
      </c>
      <c r="M20" s="101">
        <v>11.05</v>
      </c>
      <c r="N20" s="107">
        <v>16</v>
      </c>
      <c r="O20" s="64">
        <v>7000</v>
      </c>
      <c r="P20" s="65">
        <f>Table2245789101123456789101112131415161718192021222324252627282930313233343536373839404142434445464748495051525354[[#This Row],[PEMBULATAN]]*O20</f>
        <v>112000</v>
      </c>
    </row>
    <row r="21" spans="1:16" ht="30" customHeight="1" x14ac:dyDescent="0.2">
      <c r="A21" s="14"/>
      <c r="B21" s="74"/>
      <c r="C21" s="95" t="s">
        <v>939</v>
      </c>
      <c r="D21" s="96" t="s">
        <v>83</v>
      </c>
      <c r="E21" s="97">
        <v>44499</v>
      </c>
      <c r="F21" s="98" t="s">
        <v>84</v>
      </c>
      <c r="G21" s="97">
        <v>44499.916666666664</v>
      </c>
      <c r="H21" s="99" t="s">
        <v>879</v>
      </c>
      <c r="I21" s="100">
        <v>103</v>
      </c>
      <c r="J21" s="100">
        <v>42</v>
      </c>
      <c r="K21" s="100">
        <v>20</v>
      </c>
      <c r="L21" s="100">
        <v>11</v>
      </c>
      <c r="M21" s="101">
        <v>21.63</v>
      </c>
      <c r="N21" s="107">
        <v>21.63</v>
      </c>
      <c r="O21" s="64">
        <v>7000</v>
      </c>
      <c r="P21" s="65">
        <f>Table2245789101123456789101112131415161718192021222324252627282930313233343536373839404142434445464748495051525354[[#This Row],[PEMBULATAN]]*O21</f>
        <v>151410</v>
      </c>
    </row>
    <row r="22" spans="1:16" ht="30" customHeight="1" x14ac:dyDescent="0.2">
      <c r="A22" s="14"/>
      <c r="B22" s="74"/>
      <c r="C22" s="95" t="s">
        <v>940</v>
      </c>
      <c r="D22" s="96" t="s">
        <v>83</v>
      </c>
      <c r="E22" s="97">
        <v>44499</v>
      </c>
      <c r="F22" s="98" t="s">
        <v>84</v>
      </c>
      <c r="G22" s="97">
        <v>44499.916666666664</v>
      </c>
      <c r="H22" s="99" t="s">
        <v>879</v>
      </c>
      <c r="I22" s="100">
        <v>80</v>
      </c>
      <c r="J22" s="100">
        <v>40</v>
      </c>
      <c r="K22" s="100">
        <v>62</v>
      </c>
      <c r="L22" s="100">
        <v>47</v>
      </c>
      <c r="M22" s="101">
        <v>49.6</v>
      </c>
      <c r="N22" s="107">
        <v>49.6</v>
      </c>
      <c r="O22" s="64">
        <v>7000</v>
      </c>
      <c r="P22" s="65">
        <f>Table2245789101123456789101112131415161718192021222324252627282930313233343536373839404142434445464748495051525354[[#This Row],[PEMBULATAN]]*O22</f>
        <v>347200</v>
      </c>
    </row>
    <row r="23" spans="1:16" ht="30" customHeight="1" x14ac:dyDescent="0.2">
      <c r="A23" s="14"/>
      <c r="B23" s="74"/>
      <c r="C23" s="95" t="s">
        <v>941</v>
      </c>
      <c r="D23" s="96" t="s">
        <v>83</v>
      </c>
      <c r="E23" s="97">
        <v>44499</v>
      </c>
      <c r="F23" s="98" t="s">
        <v>84</v>
      </c>
      <c r="G23" s="97">
        <v>44499.916666666664</v>
      </c>
      <c r="H23" s="99" t="s">
        <v>879</v>
      </c>
      <c r="I23" s="100">
        <v>44</v>
      </c>
      <c r="J23" s="100">
        <v>34</v>
      </c>
      <c r="K23" s="100">
        <v>10</v>
      </c>
      <c r="L23" s="100">
        <v>8</v>
      </c>
      <c r="M23" s="101">
        <v>3.74</v>
      </c>
      <c r="N23" s="107">
        <v>8</v>
      </c>
      <c r="O23" s="64">
        <v>7000</v>
      </c>
      <c r="P23" s="65">
        <f>Table2245789101123456789101112131415161718192021222324252627282930313233343536373839404142434445464748495051525354[[#This Row],[PEMBULATAN]]*O23</f>
        <v>56000</v>
      </c>
    </row>
    <row r="24" spans="1:16" ht="30" customHeight="1" x14ac:dyDescent="0.2">
      <c r="A24" s="14"/>
      <c r="B24" s="108"/>
      <c r="C24" s="95" t="s">
        <v>942</v>
      </c>
      <c r="D24" s="96" t="s">
        <v>83</v>
      </c>
      <c r="E24" s="97">
        <v>44499</v>
      </c>
      <c r="F24" s="98" t="s">
        <v>84</v>
      </c>
      <c r="G24" s="97">
        <v>44499.916666666664</v>
      </c>
      <c r="H24" s="99" t="s">
        <v>879</v>
      </c>
      <c r="I24" s="100">
        <v>41</v>
      </c>
      <c r="J24" s="100">
        <v>35</v>
      </c>
      <c r="K24" s="100">
        <v>20</v>
      </c>
      <c r="L24" s="100">
        <v>13</v>
      </c>
      <c r="M24" s="101">
        <v>7.1749999999999998</v>
      </c>
      <c r="N24" s="107">
        <v>13</v>
      </c>
      <c r="O24" s="64">
        <v>7000</v>
      </c>
      <c r="P24" s="65">
        <f>Table2245789101123456789101112131415161718192021222324252627282930313233343536373839404142434445464748495051525354[[#This Row],[PEMBULATAN]]*O24</f>
        <v>91000</v>
      </c>
    </row>
    <row r="25" spans="1:16" ht="30" customHeight="1" x14ac:dyDescent="0.2">
      <c r="A25" s="14"/>
      <c r="B25" s="74" t="s">
        <v>943</v>
      </c>
      <c r="C25" s="95" t="s">
        <v>944</v>
      </c>
      <c r="D25" s="96" t="s">
        <v>83</v>
      </c>
      <c r="E25" s="97">
        <v>44499</v>
      </c>
      <c r="F25" s="98" t="s">
        <v>84</v>
      </c>
      <c r="G25" s="97">
        <v>44499.916666666664</v>
      </c>
      <c r="H25" s="99" t="s">
        <v>879</v>
      </c>
      <c r="I25" s="100">
        <v>45</v>
      </c>
      <c r="J25" s="100">
        <v>30</v>
      </c>
      <c r="K25" s="100">
        <v>25</v>
      </c>
      <c r="L25" s="100">
        <v>15</v>
      </c>
      <c r="M25" s="101">
        <v>8.4375</v>
      </c>
      <c r="N25" s="107">
        <v>15</v>
      </c>
      <c r="O25" s="64">
        <v>7000</v>
      </c>
      <c r="P25" s="65">
        <f>Table2245789101123456789101112131415161718192021222324252627282930313233343536373839404142434445464748495051525354[[#This Row],[PEMBULATAN]]*O25</f>
        <v>105000</v>
      </c>
    </row>
    <row r="26" spans="1:16" ht="30" customHeight="1" x14ac:dyDescent="0.2">
      <c r="A26" s="14"/>
      <c r="B26" s="74"/>
      <c r="C26" s="95" t="s">
        <v>945</v>
      </c>
      <c r="D26" s="96" t="s">
        <v>83</v>
      </c>
      <c r="E26" s="97">
        <v>44499</v>
      </c>
      <c r="F26" s="98" t="s">
        <v>84</v>
      </c>
      <c r="G26" s="97">
        <v>44499.916666666664</v>
      </c>
      <c r="H26" s="99" t="s">
        <v>879</v>
      </c>
      <c r="I26" s="100">
        <v>74</v>
      </c>
      <c r="J26" s="100">
        <v>35</v>
      </c>
      <c r="K26" s="100">
        <v>24</v>
      </c>
      <c r="L26" s="100">
        <v>15</v>
      </c>
      <c r="M26" s="101">
        <v>15.54</v>
      </c>
      <c r="N26" s="107">
        <v>15.54</v>
      </c>
      <c r="O26" s="64">
        <v>7000</v>
      </c>
      <c r="P26" s="65">
        <f>Table2245789101123456789101112131415161718192021222324252627282930313233343536373839404142434445464748495051525354[[#This Row],[PEMBULATAN]]*O26</f>
        <v>108780</v>
      </c>
    </row>
    <row r="27" spans="1:16" ht="30" customHeight="1" x14ac:dyDescent="0.2">
      <c r="A27" s="14"/>
      <c r="B27" s="74"/>
      <c r="C27" s="95" t="s">
        <v>946</v>
      </c>
      <c r="D27" s="96" t="s">
        <v>83</v>
      </c>
      <c r="E27" s="97">
        <v>44499</v>
      </c>
      <c r="F27" s="98" t="s">
        <v>84</v>
      </c>
      <c r="G27" s="97">
        <v>44499.916666666664</v>
      </c>
      <c r="H27" s="99" t="s">
        <v>879</v>
      </c>
      <c r="I27" s="100">
        <v>48</v>
      </c>
      <c r="J27" s="100">
        <v>30</v>
      </c>
      <c r="K27" s="100">
        <v>10</v>
      </c>
      <c r="L27" s="100">
        <v>4</v>
      </c>
      <c r="M27" s="101">
        <v>3.6</v>
      </c>
      <c r="N27" s="107">
        <v>4</v>
      </c>
      <c r="O27" s="64">
        <v>7000</v>
      </c>
      <c r="P27" s="65">
        <f>Table2245789101123456789101112131415161718192021222324252627282930313233343536373839404142434445464748495051525354[[#This Row],[PEMBULATAN]]*O27</f>
        <v>28000</v>
      </c>
    </row>
    <row r="28" spans="1:16" ht="22.5" customHeight="1" x14ac:dyDescent="0.2">
      <c r="A28" s="143" t="s">
        <v>30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5"/>
      <c r="M28" s="78">
        <f>SUBTOTAL(109,Table2245789101123456789101112131415161718192021222324252627282930313233343536373839404142434445464748495051525354[KG VOLUME])</f>
        <v>389.54575000000011</v>
      </c>
      <c r="N28" s="68">
        <f>SUM(N3:N27)</f>
        <v>433.24925000000002</v>
      </c>
      <c r="O28" s="146">
        <f>SUM(P3:P27)</f>
        <v>3032744.75</v>
      </c>
      <c r="P28" s="147"/>
    </row>
    <row r="29" spans="1:16" ht="18" customHeight="1" x14ac:dyDescent="0.2">
      <c r="A29" s="85"/>
      <c r="B29" s="56" t="s">
        <v>42</v>
      </c>
      <c r="C29" s="55"/>
      <c r="D29" s="57" t="s">
        <v>43</v>
      </c>
      <c r="E29" s="85"/>
      <c r="F29" s="85"/>
      <c r="G29" s="85"/>
      <c r="H29" s="85"/>
      <c r="I29" s="85"/>
      <c r="J29" s="85"/>
      <c r="K29" s="85"/>
      <c r="L29" s="85"/>
      <c r="M29" s="86"/>
      <c r="N29" s="87" t="s">
        <v>52</v>
      </c>
      <c r="O29" s="88"/>
      <c r="P29" s="88">
        <v>0</v>
      </c>
    </row>
    <row r="30" spans="1:16" ht="18" customHeight="1" thickBot="1" x14ac:dyDescent="0.25">
      <c r="A30" s="85"/>
      <c r="B30" s="56"/>
      <c r="C30" s="55"/>
      <c r="D30" s="57"/>
      <c r="E30" s="85"/>
      <c r="F30" s="85"/>
      <c r="G30" s="85"/>
      <c r="H30" s="85"/>
      <c r="I30" s="85"/>
      <c r="J30" s="85"/>
      <c r="K30" s="85"/>
      <c r="L30" s="85"/>
      <c r="M30" s="86"/>
      <c r="N30" s="89" t="s">
        <v>53</v>
      </c>
      <c r="O30" s="90"/>
      <c r="P30" s="90">
        <f>O28-P29</f>
        <v>3032744.75</v>
      </c>
    </row>
    <row r="31" spans="1:16" ht="18" customHeight="1" x14ac:dyDescent="0.2">
      <c r="A31" s="11"/>
      <c r="H31" s="63"/>
      <c r="N31" s="62" t="s">
        <v>31</v>
      </c>
      <c r="P31" s="69">
        <f>P30*1%</f>
        <v>30327.447500000002</v>
      </c>
    </row>
    <row r="32" spans="1:16" ht="18" customHeight="1" thickBot="1" x14ac:dyDescent="0.25">
      <c r="A32" s="11"/>
      <c r="H32" s="63"/>
      <c r="N32" s="62" t="s">
        <v>54</v>
      </c>
      <c r="P32" s="71">
        <f>P30*2%</f>
        <v>60654.895000000004</v>
      </c>
    </row>
    <row r="33" spans="1:16" ht="18" customHeight="1" x14ac:dyDescent="0.2">
      <c r="A33" s="11"/>
      <c r="H33" s="63"/>
      <c r="N33" s="66" t="s">
        <v>32</v>
      </c>
      <c r="O33" s="67"/>
      <c r="P33" s="70">
        <f>P30+P31-P32</f>
        <v>3002417.3024999998</v>
      </c>
    </row>
    <row r="35" spans="1:16" x14ac:dyDescent="0.2">
      <c r="A35" s="11"/>
      <c r="H35" s="63"/>
      <c r="P35" s="71"/>
    </row>
    <row r="36" spans="1:16" x14ac:dyDescent="0.2">
      <c r="A36" s="11"/>
      <c r="H36" s="63"/>
      <c r="O36" s="58"/>
      <c r="P36" s="71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</sheetData>
  <mergeCells count="2">
    <mergeCell ref="A28:L28"/>
    <mergeCell ref="O28:P28"/>
  </mergeCells>
  <conditionalFormatting sqref="B3">
    <cfRule type="duplicateValues" dxfId="49" priority="2"/>
  </conditionalFormatting>
  <conditionalFormatting sqref="B4:B27">
    <cfRule type="duplicateValues" dxfId="48" priority="8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404006</v>
      </c>
      <c r="B3" s="73" t="s">
        <v>947</v>
      </c>
      <c r="C3" s="9" t="s">
        <v>948</v>
      </c>
      <c r="D3" s="75" t="s">
        <v>83</v>
      </c>
      <c r="E3" s="13">
        <v>44500</v>
      </c>
      <c r="F3" s="75" t="s">
        <v>119</v>
      </c>
      <c r="G3" s="13">
        <v>44503</v>
      </c>
      <c r="H3" s="10" t="s">
        <v>879</v>
      </c>
      <c r="I3" s="1">
        <v>60</v>
      </c>
      <c r="J3" s="1">
        <v>33</v>
      </c>
      <c r="K3" s="1">
        <v>25</v>
      </c>
      <c r="L3" s="1">
        <v>11</v>
      </c>
      <c r="M3" s="79">
        <v>12.375</v>
      </c>
      <c r="N3" s="8">
        <v>13</v>
      </c>
      <c r="O3" s="64">
        <v>7000</v>
      </c>
      <c r="P3" s="65">
        <f>Table224578910112345678910111213141516171819202122232425262728293031323334353637383940414243444546474849505152535455[[#This Row],[PEMBULATAN]]*O3</f>
        <v>91000</v>
      </c>
    </row>
    <row r="4" spans="1:16" ht="22.5" customHeight="1" x14ac:dyDescent="0.2">
      <c r="A4" s="143" t="s">
        <v>30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5"/>
      <c r="M4" s="78">
        <f>SUBTOTAL(109,Table224578910112345678910111213141516171819202122232425262728293031323334353637383940414243444546474849505152535455[KG VOLUME])</f>
        <v>12.375</v>
      </c>
      <c r="N4" s="68">
        <f>SUM(N3:N3)</f>
        <v>13</v>
      </c>
      <c r="O4" s="146">
        <f>SUM(P3:P3)</f>
        <v>91000</v>
      </c>
      <c r="P4" s="147"/>
    </row>
    <row r="5" spans="1:16" ht="18" customHeight="1" x14ac:dyDescent="0.2">
      <c r="A5" s="85"/>
      <c r="B5" s="56" t="s">
        <v>42</v>
      </c>
      <c r="C5" s="55"/>
      <c r="D5" s="57" t="s">
        <v>43</v>
      </c>
      <c r="E5" s="85"/>
      <c r="F5" s="85"/>
      <c r="G5" s="85"/>
      <c r="H5" s="85"/>
      <c r="I5" s="85"/>
      <c r="J5" s="85"/>
      <c r="K5" s="85"/>
      <c r="L5" s="85"/>
      <c r="M5" s="86"/>
      <c r="N5" s="87" t="s">
        <v>52</v>
      </c>
      <c r="O5" s="88"/>
      <c r="P5" s="88">
        <v>0</v>
      </c>
    </row>
    <row r="6" spans="1:16" ht="18" customHeight="1" thickBot="1" x14ac:dyDescent="0.25">
      <c r="A6" s="85"/>
      <c r="B6" s="56"/>
      <c r="C6" s="55"/>
      <c r="D6" s="57"/>
      <c r="E6" s="85"/>
      <c r="F6" s="85"/>
      <c r="G6" s="85"/>
      <c r="H6" s="85"/>
      <c r="I6" s="85"/>
      <c r="J6" s="85"/>
      <c r="K6" s="85"/>
      <c r="L6" s="85"/>
      <c r="M6" s="86"/>
      <c r="N6" s="89" t="s">
        <v>53</v>
      </c>
      <c r="O6" s="90"/>
      <c r="P6" s="90">
        <f>O4-P5</f>
        <v>91000</v>
      </c>
    </row>
    <row r="7" spans="1:16" ht="18" customHeight="1" x14ac:dyDescent="0.2">
      <c r="A7" s="11"/>
      <c r="H7" s="63"/>
      <c r="N7" s="62" t="s">
        <v>31</v>
      </c>
      <c r="P7" s="69">
        <f>P6*1%</f>
        <v>910</v>
      </c>
    </row>
    <row r="8" spans="1:16" ht="18" customHeight="1" thickBot="1" x14ac:dyDescent="0.25">
      <c r="A8" s="11"/>
      <c r="H8" s="63"/>
      <c r="N8" s="62" t="s">
        <v>54</v>
      </c>
      <c r="P8" s="71">
        <f>P6*2%</f>
        <v>1820</v>
      </c>
    </row>
    <row r="9" spans="1:16" ht="18" customHeight="1" x14ac:dyDescent="0.2">
      <c r="A9" s="11"/>
      <c r="H9" s="63"/>
      <c r="N9" s="66" t="s">
        <v>32</v>
      </c>
      <c r="O9" s="67"/>
      <c r="P9" s="70">
        <f>P6+P7-P8</f>
        <v>90090</v>
      </c>
    </row>
    <row r="11" spans="1:16" x14ac:dyDescent="0.2">
      <c r="A11" s="11"/>
      <c r="H11" s="63"/>
      <c r="P11" s="71"/>
    </row>
    <row r="12" spans="1:16" x14ac:dyDescent="0.2">
      <c r="A12" s="11"/>
      <c r="H12" s="63"/>
      <c r="O12" s="58"/>
      <c r="P12" s="71"/>
    </row>
    <row r="13" spans="1:16" s="3" customFormat="1" x14ac:dyDescent="0.25">
      <c r="A13" s="11"/>
      <c r="B13" s="2"/>
      <c r="C13" s="2"/>
      <c r="E13" s="12"/>
      <c r="H13" s="63"/>
      <c r="N13" s="15"/>
      <c r="O13" s="15"/>
      <c r="P13" s="15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</sheetData>
  <mergeCells count="2">
    <mergeCell ref="A4:L4"/>
    <mergeCell ref="O4:P4"/>
  </mergeCells>
  <conditionalFormatting sqref="B3">
    <cfRule type="duplicateValues" dxfId="32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33" sqref="G3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402314</v>
      </c>
      <c r="B3" s="73" t="s">
        <v>949</v>
      </c>
      <c r="C3" s="9" t="s">
        <v>950</v>
      </c>
      <c r="D3" s="75" t="s">
        <v>83</v>
      </c>
      <c r="E3" s="13">
        <v>44500</v>
      </c>
      <c r="F3" s="75" t="s">
        <v>119</v>
      </c>
      <c r="G3" s="13">
        <v>44503</v>
      </c>
      <c r="H3" s="10" t="s">
        <v>879</v>
      </c>
      <c r="I3" s="1">
        <v>33</v>
      </c>
      <c r="J3" s="1">
        <v>23</v>
      </c>
      <c r="K3" s="1">
        <v>18</v>
      </c>
      <c r="L3" s="1">
        <v>6</v>
      </c>
      <c r="M3" s="79">
        <v>3.4155000000000002</v>
      </c>
      <c r="N3" s="103">
        <v>6</v>
      </c>
      <c r="O3" s="64">
        <v>7000</v>
      </c>
      <c r="P3" s="65">
        <f>Table22457891011234567891011121314151617181920212223242526272829303132333435363738394041424344454647484950515253545556[[#This Row],[PEMBULATAN]]*O3</f>
        <v>42000</v>
      </c>
    </row>
    <row r="4" spans="1:16" ht="26.25" customHeight="1" x14ac:dyDescent="0.2">
      <c r="A4" s="14"/>
      <c r="B4" s="74"/>
      <c r="C4" s="9" t="s">
        <v>951</v>
      </c>
      <c r="D4" s="75" t="s">
        <v>83</v>
      </c>
      <c r="E4" s="13">
        <v>44500</v>
      </c>
      <c r="F4" s="75" t="s">
        <v>119</v>
      </c>
      <c r="G4" s="13">
        <v>44503</v>
      </c>
      <c r="H4" s="10" t="s">
        <v>879</v>
      </c>
      <c r="I4" s="1">
        <v>78</v>
      </c>
      <c r="J4" s="1">
        <v>36</v>
      </c>
      <c r="K4" s="1">
        <v>49</v>
      </c>
      <c r="L4" s="1">
        <v>3</v>
      </c>
      <c r="M4" s="79">
        <v>34.398000000000003</v>
      </c>
      <c r="N4" s="103">
        <v>35</v>
      </c>
      <c r="O4" s="64">
        <v>7000</v>
      </c>
      <c r="P4" s="65">
        <f>Table22457891011234567891011121314151617181920212223242526272829303132333435363738394041424344454647484950515253545556[[#This Row],[PEMBULATAN]]*O4</f>
        <v>245000</v>
      </c>
    </row>
    <row r="5" spans="1:16" ht="26.25" customHeight="1" x14ac:dyDescent="0.2">
      <c r="A5" s="14"/>
      <c r="B5" s="74"/>
      <c r="C5" s="95" t="s">
        <v>952</v>
      </c>
      <c r="D5" s="96" t="s">
        <v>83</v>
      </c>
      <c r="E5" s="97">
        <v>44500</v>
      </c>
      <c r="F5" s="98" t="s">
        <v>119</v>
      </c>
      <c r="G5" s="97">
        <v>44503</v>
      </c>
      <c r="H5" s="99" t="s">
        <v>879</v>
      </c>
      <c r="I5" s="100">
        <v>36</v>
      </c>
      <c r="J5" s="100">
        <v>36</v>
      </c>
      <c r="K5" s="100">
        <v>18</v>
      </c>
      <c r="L5" s="100">
        <v>12</v>
      </c>
      <c r="M5" s="101">
        <v>5.8319999999999999</v>
      </c>
      <c r="N5" s="107">
        <v>12</v>
      </c>
      <c r="O5" s="64">
        <v>7000</v>
      </c>
      <c r="P5" s="65">
        <f>Table22457891011234567891011121314151617181920212223242526272829303132333435363738394041424344454647484950515253545556[[#This Row],[PEMBULATAN]]*O5</f>
        <v>84000</v>
      </c>
    </row>
    <row r="6" spans="1:16" ht="26.25" customHeight="1" x14ac:dyDescent="0.2">
      <c r="A6" s="14"/>
      <c r="B6" s="74"/>
      <c r="C6" s="95" t="s">
        <v>953</v>
      </c>
      <c r="D6" s="96" t="s">
        <v>83</v>
      </c>
      <c r="E6" s="97">
        <v>44500</v>
      </c>
      <c r="F6" s="98" t="s">
        <v>119</v>
      </c>
      <c r="G6" s="97">
        <v>44503</v>
      </c>
      <c r="H6" s="99" t="s">
        <v>879</v>
      </c>
      <c r="I6" s="100">
        <v>36</v>
      </c>
      <c r="J6" s="100">
        <v>36</v>
      </c>
      <c r="K6" s="100">
        <v>18</v>
      </c>
      <c r="L6" s="100">
        <v>12</v>
      </c>
      <c r="M6" s="101">
        <v>5.8319999999999999</v>
      </c>
      <c r="N6" s="107">
        <v>12</v>
      </c>
      <c r="O6" s="64">
        <v>7000</v>
      </c>
      <c r="P6" s="65">
        <f>Table22457891011234567891011121314151617181920212223242526272829303132333435363738394041424344454647484950515253545556[[#This Row],[PEMBULATAN]]*O6</f>
        <v>84000</v>
      </c>
    </row>
    <row r="7" spans="1:16" ht="26.25" customHeight="1" x14ac:dyDescent="0.2">
      <c r="A7" s="14"/>
      <c r="B7" s="74"/>
      <c r="C7" s="95" t="s">
        <v>954</v>
      </c>
      <c r="D7" s="96" t="s">
        <v>83</v>
      </c>
      <c r="E7" s="97">
        <v>44500</v>
      </c>
      <c r="F7" s="98" t="s">
        <v>119</v>
      </c>
      <c r="G7" s="97">
        <v>44503</v>
      </c>
      <c r="H7" s="99" t="s">
        <v>879</v>
      </c>
      <c r="I7" s="100">
        <v>36</v>
      </c>
      <c r="J7" s="100">
        <v>36</v>
      </c>
      <c r="K7" s="100">
        <v>18</v>
      </c>
      <c r="L7" s="100">
        <v>12</v>
      </c>
      <c r="M7" s="101">
        <v>5.8319999999999999</v>
      </c>
      <c r="N7" s="107">
        <v>12</v>
      </c>
      <c r="O7" s="64">
        <v>7000</v>
      </c>
      <c r="P7" s="65">
        <f>Table22457891011234567891011121314151617181920212223242526272829303132333435363738394041424344454647484950515253545556[[#This Row],[PEMBULATAN]]*O7</f>
        <v>84000</v>
      </c>
    </row>
    <row r="8" spans="1:16" ht="26.25" customHeight="1" x14ac:dyDescent="0.2">
      <c r="A8" s="14"/>
      <c r="B8" s="74"/>
      <c r="C8" s="95" t="s">
        <v>955</v>
      </c>
      <c r="D8" s="96" t="s">
        <v>83</v>
      </c>
      <c r="E8" s="97">
        <v>44500</v>
      </c>
      <c r="F8" s="98" t="s">
        <v>119</v>
      </c>
      <c r="G8" s="97">
        <v>44503</v>
      </c>
      <c r="H8" s="99" t="s">
        <v>879</v>
      </c>
      <c r="I8" s="100">
        <v>33</v>
      </c>
      <c r="J8" s="100">
        <v>24</v>
      </c>
      <c r="K8" s="100">
        <v>18</v>
      </c>
      <c r="L8" s="100">
        <v>8</v>
      </c>
      <c r="M8" s="101">
        <v>3.5640000000000001</v>
      </c>
      <c r="N8" s="107">
        <v>8</v>
      </c>
      <c r="O8" s="64">
        <v>7000</v>
      </c>
      <c r="P8" s="65">
        <f>Table22457891011234567891011121314151617181920212223242526272829303132333435363738394041424344454647484950515253545556[[#This Row],[PEMBULATAN]]*O8</f>
        <v>56000</v>
      </c>
    </row>
    <row r="9" spans="1:16" ht="26.25" customHeight="1" x14ac:dyDescent="0.2">
      <c r="A9" s="14"/>
      <c r="B9" s="74"/>
      <c r="C9" s="95" t="s">
        <v>956</v>
      </c>
      <c r="D9" s="96" t="s">
        <v>83</v>
      </c>
      <c r="E9" s="97">
        <v>44500</v>
      </c>
      <c r="F9" s="98" t="s">
        <v>119</v>
      </c>
      <c r="G9" s="97">
        <v>44503</v>
      </c>
      <c r="H9" s="99" t="s">
        <v>879</v>
      </c>
      <c r="I9" s="100">
        <v>33</v>
      </c>
      <c r="J9" s="100">
        <v>24</v>
      </c>
      <c r="K9" s="100">
        <v>18</v>
      </c>
      <c r="L9" s="100">
        <v>8</v>
      </c>
      <c r="M9" s="101">
        <v>3.5640000000000001</v>
      </c>
      <c r="N9" s="107">
        <v>8</v>
      </c>
      <c r="O9" s="64">
        <v>7000</v>
      </c>
      <c r="P9" s="65">
        <f>Table22457891011234567891011121314151617181920212223242526272829303132333435363738394041424344454647484950515253545556[[#This Row],[PEMBULATAN]]*O9</f>
        <v>56000</v>
      </c>
    </row>
    <row r="10" spans="1:16" ht="26.25" customHeight="1" x14ac:dyDescent="0.2">
      <c r="A10" s="14"/>
      <c r="B10" s="74"/>
      <c r="C10" s="95" t="s">
        <v>957</v>
      </c>
      <c r="D10" s="96" t="s">
        <v>83</v>
      </c>
      <c r="E10" s="97">
        <v>44500</v>
      </c>
      <c r="F10" s="98" t="s">
        <v>119</v>
      </c>
      <c r="G10" s="97">
        <v>44503</v>
      </c>
      <c r="H10" s="99" t="s">
        <v>879</v>
      </c>
      <c r="I10" s="100">
        <v>65</v>
      </c>
      <c r="J10" s="100">
        <v>56</v>
      </c>
      <c r="K10" s="100">
        <v>21</v>
      </c>
      <c r="L10" s="100">
        <v>12</v>
      </c>
      <c r="M10" s="101">
        <v>19.11</v>
      </c>
      <c r="N10" s="107">
        <v>19.11</v>
      </c>
      <c r="O10" s="64">
        <v>7000</v>
      </c>
      <c r="P10" s="65">
        <f>Table22457891011234567891011121314151617181920212223242526272829303132333435363738394041424344454647484950515253545556[[#This Row],[PEMBULATAN]]*O10</f>
        <v>133770</v>
      </c>
    </row>
    <row r="11" spans="1:16" ht="26.25" customHeight="1" x14ac:dyDescent="0.2">
      <c r="A11" s="14"/>
      <c r="B11" s="74"/>
      <c r="C11" s="95" t="s">
        <v>958</v>
      </c>
      <c r="D11" s="96" t="s">
        <v>83</v>
      </c>
      <c r="E11" s="97">
        <v>44500</v>
      </c>
      <c r="F11" s="98" t="s">
        <v>119</v>
      </c>
      <c r="G11" s="97">
        <v>44503</v>
      </c>
      <c r="H11" s="99" t="s">
        <v>879</v>
      </c>
      <c r="I11" s="100">
        <v>65</v>
      </c>
      <c r="J11" s="100">
        <v>56</v>
      </c>
      <c r="K11" s="100">
        <v>21</v>
      </c>
      <c r="L11" s="100">
        <v>12</v>
      </c>
      <c r="M11" s="101">
        <v>19.11</v>
      </c>
      <c r="N11" s="107">
        <v>19.11</v>
      </c>
      <c r="O11" s="64">
        <v>7000</v>
      </c>
      <c r="P11" s="65">
        <f>Table22457891011234567891011121314151617181920212223242526272829303132333435363738394041424344454647484950515253545556[[#This Row],[PEMBULATAN]]*O11</f>
        <v>133770</v>
      </c>
    </row>
    <row r="12" spans="1:16" ht="26.25" customHeight="1" x14ac:dyDescent="0.2">
      <c r="A12" s="14"/>
      <c r="B12" s="74"/>
      <c r="C12" s="95" t="s">
        <v>959</v>
      </c>
      <c r="D12" s="96" t="s">
        <v>83</v>
      </c>
      <c r="E12" s="97">
        <v>44500</v>
      </c>
      <c r="F12" s="98" t="s">
        <v>119</v>
      </c>
      <c r="G12" s="97">
        <v>44503</v>
      </c>
      <c r="H12" s="99" t="s">
        <v>879</v>
      </c>
      <c r="I12" s="100">
        <v>65</v>
      </c>
      <c r="J12" s="100">
        <v>56</v>
      </c>
      <c r="K12" s="100">
        <v>21</v>
      </c>
      <c r="L12" s="100">
        <v>12</v>
      </c>
      <c r="M12" s="101">
        <v>19.11</v>
      </c>
      <c r="N12" s="107">
        <v>19.11</v>
      </c>
      <c r="O12" s="64">
        <v>7000</v>
      </c>
      <c r="P12" s="65">
        <f>Table22457891011234567891011121314151617181920212223242526272829303132333435363738394041424344454647484950515253545556[[#This Row],[PEMBULATAN]]*O12</f>
        <v>133770</v>
      </c>
    </row>
    <row r="13" spans="1:16" ht="26.25" customHeight="1" x14ac:dyDescent="0.2">
      <c r="A13" s="14"/>
      <c r="B13" s="74"/>
      <c r="C13" s="95" t="s">
        <v>960</v>
      </c>
      <c r="D13" s="96" t="s">
        <v>83</v>
      </c>
      <c r="E13" s="97">
        <v>44500</v>
      </c>
      <c r="F13" s="98" t="s">
        <v>119</v>
      </c>
      <c r="G13" s="97">
        <v>44503</v>
      </c>
      <c r="H13" s="99" t="s">
        <v>879</v>
      </c>
      <c r="I13" s="100">
        <v>43</v>
      </c>
      <c r="J13" s="100">
        <v>33</v>
      </c>
      <c r="K13" s="100">
        <v>31</v>
      </c>
      <c r="L13" s="100">
        <v>9</v>
      </c>
      <c r="M13" s="101">
        <v>10.997249999999999</v>
      </c>
      <c r="N13" s="107">
        <v>10.997249999999999</v>
      </c>
      <c r="O13" s="64">
        <v>7000</v>
      </c>
      <c r="P13" s="65">
        <f>Table22457891011234567891011121314151617181920212223242526272829303132333435363738394041424344454647484950515253545556[[#This Row],[PEMBULATAN]]*O13</f>
        <v>76980.75</v>
      </c>
    </row>
    <row r="14" spans="1:16" ht="26.25" customHeight="1" x14ac:dyDescent="0.2">
      <c r="A14" s="14"/>
      <c r="B14" s="74"/>
      <c r="C14" s="95" t="s">
        <v>961</v>
      </c>
      <c r="D14" s="96" t="s">
        <v>83</v>
      </c>
      <c r="E14" s="97">
        <v>44500</v>
      </c>
      <c r="F14" s="98" t="s">
        <v>119</v>
      </c>
      <c r="G14" s="97">
        <v>44503</v>
      </c>
      <c r="H14" s="99" t="s">
        <v>879</v>
      </c>
      <c r="I14" s="100">
        <v>43</v>
      </c>
      <c r="J14" s="100">
        <v>33</v>
      </c>
      <c r="K14" s="100">
        <v>31</v>
      </c>
      <c r="L14" s="100">
        <v>9</v>
      </c>
      <c r="M14" s="101">
        <v>10.997249999999999</v>
      </c>
      <c r="N14" s="107">
        <v>10.997249999999999</v>
      </c>
      <c r="O14" s="64">
        <v>7000</v>
      </c>
      <c r="P14" s="65">
        <f>Table22457891011234567891011121314151617181920212223242526272829303132333435363738394041424344454647484950515253545556[[#This Row],[PEMBULATAN]]*O14</f>
        <v>76980.75</v>
      </c>
    </row>
    <row r="15" spans="1:16" ht="26.25" customHeight="1" x14ac:dyDescent="0.2">
      <c r="A15" s="14"/>
      <c r="B15" s="74"/>
      <c r="C15" s="95" t="s">
        <v>962</v>
      </c>
      <c r="D15" s="96" t="s">
        <v>83</v>
      </c>
      <c r="E15" s="97">
        <v>44500</v>
      </c>
      <c r="F15" s="98" t="s">
        <v>119</v>
      </c>
      <c r="G15" s="97">
        <v>44503</v>
      </c>
      <c r="H15" s="99" t="s">
        <v>879</v>
      </c>
      <c r="I15" s="100">
        <v>43</v>
      </c>
      <c r="J15" s="100">
        <v>33</v>
      </c>
      <c r="K15" s="100">
        <v>31</v>
      </c>
      <c r="L15" s="100">
        <v>9</v>
      </c>
      <c r="M15" s="101">
        <v>10.997249999999999</v>
      </c>
      <c r="N15" s="107">
        <v>10.997249999999999</v>
      </c>
      <c r="O15" s="64">
        <v>7000</v>
      </c>
      <c r="P15" s="65">
        <f>Table22457891011234567891011121314151617181920212223242526272829303132333435363738394041424344454647484950515253545556[[#This Row],[PEMBULATAN]]*O15</f>
        <v>76980.75</v>
      </c>
    </row>
    <row r="16" spans="1:16" ht="26.25" customHeight="1" x14ac:dyDescent="0.2">
      <c r="A16" s="14"/>
      <c r="B16" s="74"/>
      <c r="C16" s="95" t="s">
        <v>963</v>
      </c>
      <c r="D16" s="96" t="s">
        <v>83</v>
      </c>
      <c r="E16" s="97">
        <v>44500</v>
      </c>
      <c r="F16" s="98" t="s">
        <v>119</v>
      </c>
      <c r="G16" s="97">
        <v>44503</v>
      </c>
      <c r="H16" s="99" t="s">
        <v>879</v>
      </c>
      <c r="I16" s="100">
        <v>43</v>
      </c>
      <c r="J16" s="100">
        <v>33</v>
      </c>
      <c r="K16" s="100">
        <v>31</v>
      </c>
      <c r="L16" s="100">
        <v>9</v>
      </c>
      <c r="M16" s="101">
        <v>10.997249999999999</v>
      </c>
      <c r="N16" s="107">
        <v>10.997249999999999</v>
      </c>
      <c r="O16" s="64">
        <v>7000</v>
      </c>
      <c r="P16" s="65">
        <f>Table22457891011234567891011121314151617181920212223242526272829303132333435363738394041424344454647484950515253545556[[#This Row],[PEMBULATAN]]*O16</f>
        <v>76980.75</v>
      </c>
    </row>
    <row r="17" spans="1:16" ht="26.25" customHeight="1" x14ac:dyDescent="0.2">
      <c r="A17" s="14"/>
      <c r="B17" s="74"/>
      <c r="C17" s="95" t="s">
        <v>964</v>
      </c>
      <c r="D17" s="96" t="s">
        <v>83</v>
      </c>
      <c r="E17" s="97">
        <v>44500</v>
      </c>
      <c r="F17" s="98" t="s">
        <v>119</v>
      </c>
      <c r="G17" s="97">
        <v>44503</v>
      </c>
      <c r="H17" s="99" t="s">
        <v>879</v>
      </c>
      <c r="I17" s="100">
        <v>75</v>
      </c>
      <c r="J17" s="100">
        <v>33</v>
      </c>
      <c r="K17" s="100">
        <v>27</v>
      </c>
      <c r="L17" s="100">
        <v>3</v>
      </c>
      <c r="M17" s="101">
        <v>16.706250000000001</v>
      </c>
      <c r="N17" s="107">
        <v>16.706250000000001</v>
      </c>
      <c r="O17" s="64">
        <v>7000</v>
      </c>
      <c r="P17" s="65">
        <f>Table22457891011234567891011121314151617181920212223242526272829303132333435363738394041424344454647484950515253545556[[#This Row],[PEMBULATAN]]*O17</f>
        <v>116943.75</v>
      </c>
    </row>
    <row r="18" spans="1:16" ht="26.25" customHeight="1" x14ac:dyDescent="0.2">
      <c r="A18" s="14"/>
      <c r="B18" s="108"/>
      <c r="C18" s="95" t="s">
        <v>965</v>
      </c>
      <c r="D18" s="96" t="s">
        <v>83</v>
      </c>
      <c r="E18" s="97">
        <v>44500</v>
      </c>
      <c r="F18" s="98" t="s">
        <v>119</v>
      </c>
      <c r="G18" s="97">
        <v>44503</v>
      </c>
      <c r="H18" s="99" t="s">
        <v>879</v>
      </c>
      <c r="I18" s="100">
        <v>36</v>
      </c>
      <c r="J18" s="100">
        <v>36</v>
      </c>
      <c r="K18" s="100">
        <v>18</v>
      </c>
      <c r="L18" s="100">
        <v>12</v>
      </c>
      <c r="M18" s="101">
        <v>5.8319999999999999</v>
      </c>
      <c r="N18" s="107">
        <v>12</v>
      </c>
      <c r="O18" s="64">
        <v>7000</v>
      </c>
      <c r="P18" s="65">
        <f>Table22457891011234567891011121314151617181920212223242526272829303132333435363738394041424344454647484950515253545556[[#This Row],[PEMBULATAN]]*O18</f>
        <v>84000</v>
      </c>
    </row>
    <row r="19" spans="1:16" ht="26.25" customHeight="1" x14ac:dyDescent="0.2">
      <c r="A19" s="14"/>
      <c r="B19" s="74" t="s">
        <v>966</v>
      </c>
      <c r="C19" s="95" t="s">
        <v>967</v>
      </c>
      <c r="D19" s="96" t="s">
        <v>83</v>
      </c>
      <c r="E19" s="97">
        <v>44500</v>
      </c>
      <c r="F19" s="98" t="s">
        <v>119</v>
      </c>
      <c r="G19" s="97">
        <v>44503</v>
      </c>
      <c r="H19" s="99" t="s">
        <v>879</v>
      </c>
      <c r="I19" s="100">
        <v>33</v>
      </c>
      <c r="J19" s="100">
        <v>33</v>
      </c>
      <c r="K19" s="100">
        <v>30</v>
      </c>
      <c r="L19" s="100">
        <v>2</v>
      </c>
      <c r="M19" s="101">
        <v>8.1675000000000004</v>
      </c>
      <c r="N19" s="107">
        <v>8.1675000000000004</v>
      </c>
      <c r="O19" s="64">
        <v>7000</v>
      </c>
      <c r="P19" s="65">
        <f>Table22457891011234567891011121314151617181920212223242526272829303132333435363738394041424344454647484950515253545556[[#This Row],[PEMBULATAN]]*O19</f>
        <v>57172.5</v>
      </c>
    </row>
    <row r="20" spans="1:16" ht="26.25" customHeight="1" x14ac:dyDescent="0.2">
      <c r="A20" s="14"/>
      <c r="B20" s="108"/>
      <c r="C20" s="95" t="s">
        <v>968</v>
      </c>
      <c r="D20" s="96" t="s">
        <v>83</v>
      </c>
      <c r="E20" s="97">
        <v>44500</v>
      </c>
      <c r="F20" s="98" t="s">
        <v>119</v>
      </c>
      <c r="G20" s="97">
        <v>44503</v>
      </c>
      <c r="H20" s="99" t="s">
        <v>879</v>
      </c>
      <c r="I20" s="100">
        <v>57</v>
      </c>
      <c r="J20" s="100">
        <v>42</v>
      </c>
      <c r="K20" s="100">
        <v>15</v>
      </c>
      <c r="L20" s="100">
        <v>7</v>
      </c>
      <c r="M20" s="101">
        <v>8.9774999999999991</v>
      </c>
      <c r="N20" s="107">
        <v>8.9774999999999991</v>
      </c>
      <c r="O20" s="64">
        <v>7000</v>
      </c>
      <c r="P20" s="65">
        <f>Table22457891011234567891011121314151617181920212223242526272829303132333435363738394041424344454647484950515253545556[[#This Row],[PEMBULATAN]]*O20</f>
        <v>62842.499999999993</v>
      </c>
    </row>
    <row r="21" spans="1:16" ht="26.25" customHeight="1" x14ac:dyDescent="0.2">
      <c r="A21" s="14"/>
      <c r="B21" s="74" t="s">
        <v>969</v>
      </c>
      <c r="C21" s="95" t="s">
        <v>970</v>
      </c>
      <c r="D21" s="96" t="s">
        <v>83</v>
      </c>
      <c r="E21" s="97">
        <v>44500</v>
      </c>
      <c r="F21" s="98" t="s">
        <v>119</v>
      </c>
      <c r="G21" s="97">
        <v>44503</v>
      </c>
      <c r="H21" s="99" t="s">
        <v>879</v>
      </c>
      <c r="I21" s="100">
        <v>63</v>
      </c>
      <c r="J21" s="100">
        <v>36</v>
      </c>
      <c r="K21" s="100">
        <v>30</v>
      </c>
      <c r="L21" s="100">
        <v>12</v>
      </c>
      <c r="M21" s="101">
        <v>17.010000000000002</v>
      </c>
      <c r="N21" s="107">
        <v>17.010000000000002</v>
      </c>
      <c r="O21" s="64">
        <v>7000</v>
      </c>
      <c r="P21" s="65">
        <f>Table22457891011234567891011121314151617181920212223242526272829303132333435363738394041424344454647484950515253545556[[#This Row],[PEMBULATAN]]*O21</f>
        <v>119070.00000000001</v>
      </c>
    </row>
    <row r="22" spans="1:16" ht="26.25" customHeight="1" x14ac:dyDescent="0.2">
      <c r="A22" s="14"/>
      <c r="B22" s="74"/>
      <c r="C22" s="95" t="s">
        <v>971</v>
      </c>
      <c r="D22" s="96" t="s">
        <v>83</v>
      </c>
      <c r="E22" s="97">
        <v>44500</v>
      </c>
      <c r="F22" s="98" t="s">
        <v>119</v>
      </c>
      <c r="G22" s="97">
        <v>44503</v>
      </c>
      <c r="H22" s="99" t="s">
        <v>879</v>
      </c>
      <c r="I22" s="100">
        <v>44</v>
      </c>
      <c r="J22" s="100">
        <v>34</v>
      </c>
      <c r="K22" s="100">
        <v>18</v>
      </c>
      <c r="L22" s="100">
        <v>20</v>
      </c>
      <c r="M22" s="101">
        <v>6.7320000000000002</v>
      </c>
      <c r="N22" s="107">
        <v>20</v>
      </c>
      <c r="O22" s="64">
        <v>7000</v>
      </c>
      <c r="P22" s="65">
        <f>Table22457891011234567891011121314151617181920212223242526272829303132333435363738394041424344454647484950515253545556[[#This Row],[PEMBULATAN]]*O22</f>
        <v>140000</v>
      </c>
    </row>
    <row r="23" spans="1:16" ht="26.25" customHeight="1" x14ac:dyDescent="0.2">
      <c r="A23" s="14"/>
      <c r="B23" s="74"/>
      <c r="C23" s="95" t="s">
        <v>972</v>
      </c>
      <c r="D23" s="96" t="s">
        <v>83</v>
      </c>
      <c r="E23" s="97">
        <v>44500</v>
      </c>
      <c r="F23" s="98" t="s">
        <v>119</v>
      </c>
      <c r="G23" s="97">
        <v>44503</v>
      </c>
      <c r="H23" s="99" t="s">
        <v>879</v>
      </c>
      <c r="I23" s="100">
        <v>75</v>
      </c>
      <c r="J23" s="100">
        <v>34</v>
      </c>
      <c r="K23" s="100">
        <v>34</v>
      </c>
      <c r="L23" s="100">
        <v>11</v>
      </c>
      <c r="M23" s="101">
        <v>21.675000000000001</v>
      </c>
      <c r="N23" s="107">
        <v>21.675000000000001</v>
      </c>
      <c r="O23" s="64">
        <v>7000</v>
      </c>
      <c r="P23" s="65">
        <f>Table22457891011234567891011121314151617181920212223242526272829303132333435363738394041424344454647484950515253545556[[#This Row],[PEMBULATAN]]*O23</f>
        <v>151725</v>
      </c>
    </row>
    <row r="24" spans="1:16" ht="26.25" customHeight="1" x14ac:dyDescent="0.2">
      <c r="A24" s="14"/>
      <c r="B24" s="74"/>
      <c r="C24" s="95" t="s">
        <v>973</v>
      </c>
      <c r="D24" s="96" t="s">
        <v>83</v>
      </c>
      <c r="E24" s="97">
        <v>44500</v>
      </c>
      <c r="F24" s="98" t="s">
        <v>119</v>
      </c>
      <c r="G24" s="97">
        <v>44503</v>
      </c>
      <c r="H24" s="99" t="s">
        <v>879</v>
      </c>
      <c r="I24" s="100">
        <v>40</v>
      </c>
      <c r="J24" s="100">
        <v>35</v>
      </c>
      <c r="K24" s="100">
        <v>22</v>
      </c>
      <c r="L24" s="100">
        <v>6</v>
      </c>
      <c r="M24" s="101">
        <v>7.7</v>
      </c>
      <c r="N24" s="107">
        <v>7.7</v>
      </c>
      <c r="O24" s="64">
        <v>7000</v>
      </c>
      <c r="P24" s="65">
        <f>Table22457891011234567891011121314151617181920212223242526272829303132333435363738394041424344454647484950515253545556[[#This Row],[PEMBULATAN]]*O24</f>
        <v>53900</v>
      </c>
    </row>
    <row r="25" spans="1:16" ht="26.25" customHeight="1" x14ac:dyDescent="0.2">
      <c r="A25" s="14"/>
      <c r="B25" s="74"/>
      <c r="C25" s="95" t="s">
        <v>974</v>
      </c>
      <c r="D25" s="96" t="s">
        <v>83</v>
      </c>
      <c r="E25" s="97">
        <v>44500</v>
      </c>
      <c r="F25" s="98" t="s">
        <v>119</v>
      </c>
      <c r="G25" s="97">
        <v>44503</v>
      </c>
      <c r="H25" s="99" t="s">
        <v>879</v>
      </c>
      <c r="I25" s="100">
        <v>79</v>
      </c>
      <c r="J25" s="100">
        <v>50</v>
      </c>
      <c r="K25" s="100">
        <v>20</v>
      </c>
      <c r="L25" s="100">
        <v>6</v>
      </c>
      <c r="M25" s="101">
        <v>19.75</v>
      </c>
      <c r="N25" s="107">
        <v>19.75</v>
      </c>
      <c r="O25" s="64">
        <v>7000</v>
      </c>
      <c r="P25" s="65">
        <f>Table22457891011234567891011121314151617181920212223242526272829303132333435363738394041424344454647484950515253545556[[#This Row],[PEMBULATAN]]*O25</f>
        <v>138250</v>
      </c>
    </row>
    <row r="26" spans="1:16" ht="26.25" customHeight="1" x14ac:dyDescent="0.2">
      <c r="A26" s="14"/>
      <c r="B26" s="74"/>
      <c r="C26" s="95" t="s">
        <v>975</v>
      </c>
      <c r="D26" s="96" t="s">
        <v>83</v>
      </c>
      <c r="E26" s="97">
        <v>44500</v>
      </c>
      <c r="F26" s="98" t="s">
        <v>119</v>
      </c>
      <c r="G26" s="97">
        <v>44503</v>
      </c>
      <c r="H26" s="99" t="s">
        <v>879</v>
      </c>
      <c r="I26" s="100">
        <v>44</v>
      </c>
      <c r="J26" s="100">
        <v>34</v>
      </c>
      <c r="K26" s="100">
        <v>27</v>
      </c>
      <c r="L26" s="100">
        <v>7</v>
      </c>
      <c r="M26" s="101">
        <v>10.098000000000001</v>
      </c>
      <c r="N26" s="107">
        <v>10.098000000000001</v>
      </c>
      <c r="O26" s="64">
        <v>7000</v>
      </c>
      <c r="P26" s="65">
        <f>Table22457891011234567891011121314151617181920212223242526272829303132333435363738394041424344454647484950515253545556[[#This Row],[PEMBULATAN]]*O26</f>
        <v>70686</v>
      </c>
    </row>
    <row r="27" spans="1:16" ht="26.25" customHeight="1" x14ac:dyDescent="0.2">
      <c r="A27" s="14"/>
      <c r="B27" s="74"/>
      <c r="C27" s="95" t="s">
        <v>976</v>
      </c>
      <c r="D27" s="96" t="s">
        <v>83</v>
      </c>
      <c r="E27" s="97">
        <v>44500</v>
      </c>
      <c r="F27" s="98" t="s">
        <v>119</v>
      </c>
      <c r="G27" s="97">
        <v>44503</v>
      </c>
      <c r="H27" s="99" t="s">
        <v>879</v>
      </c>
      <c r="I27" s="100">
        <v>46</v>
      </c>
      <c r="J27" s="100">
        <v>42</v>
      </c>
      <c r="K27" s="100">
        <v>23</v>
      </c>
      <c r="L27" s="100">
        <v>5</v>
      </c>
      <c r="M27" s="101">
        <v>11.109</v>
      </c>
      <c r="N27" s="107">
        <v>11.109</v>
      </c>
      <c r="O27" s="64">
        <v>7000</v>
      </c>
      <c r="P27" s="65">
        <f>Table22457891011234567891011121314151617181920212223242526272829303132333435363738394041424344454647484950515253545556[[#This Row],[PEMBULATAN]]*O27</f>
        <v>77763</v>
      </c>
    </row>
    <row r="28" spans="1:16" ht="26.25" customHeight="1" x14ac:dyDescent="0.2">
      <c r="A28" s="14"/>
      <c r="B28" s="74"/>
      <c r="C28" s="95" t="s">
        <v>977</v>
      </c>
      <c r="D28" s="96" t="s">
        <v>83</v>
      </c>
      <c r="E28" s="97">
        <v>44500</v>
      </c>
      <c r="F28" s="98" t="s">
        <v>119</v>
      </c>
      <c r="G28" s="97">
        <v>44503</v>
      </c>
      <c r="H28" s="99" t="s">
        <v>879</v>
      </c>
      <c r="I28" s="100">
        <v>64</v>
      </c>
      <c r="J28" s="100">
        <v>32</v>
      </c>
      <c r="K28" s="100">
        <v>39</v>
      </c>
      <c r="L28" s="100">
        <v>9</v>
      </c>
      <c r="M28" s="101">
        <v>19.968</v>
      </c>
      <c r="N28" s="107">
        <v>19.968</v>
      </c>
      <c r="O28" s="64">
        <v>7000</v>
      </c>
      <c r="P28" s="65">
        <f>Table22457891011234567891011121314151617181920212223242526272829303132333435363738394041424344454647484950515253545556[[#This Row],[PEMBULATAN]]*O28</f>
        <v>139776</v>
      </c>
    </row>
    <row r="29" spans="1:16" ht="26.25" customHeight="1" x14ac:dyDescent="0.2">
      <c r="A29" s="14"/>
      <c r="B29" s="74"/>
      <c r="C29" s="95" t="s">
        <v>978</v>
      </c>
      <c r="D29" s="96" t="s">
        <v>83</v>
      </c>
      <c r="E29" s="97">
        <v>44500</v>
      </c>
      <c r="F29" s="98" t="s">
        <v>119</v>
      </c>
      <c r="G29" s="97">
        <v>44503</v>
      </c>
      <c r="H29" s="99" t="s">
        <v>879</v>
      </c>
      <c r="I29" s="100">
        <v>39</v>
      </c>
      <c r="J29" s="100">
        <v>30</v>
      </c>
      <c r="K29" s="100">
        <v>35</v>
      </c>
      <c r="L29" s="100">
        <v>7</v>
      </c>
      <c r="M29" s="101">
        <v>10.237500000000001</v>
      </c>
      <c r="N29" s="107">
        <v>10.237500000000001</v>
      </c>
      <c r="O29" s="64">
        <v>7000</v>
      </c>
      <c r="P29" s="65">
        <f>Table22457891011234567891011121314151617181920212223242526272829303132333435363738394041424344454647484950515253545556[[#This Row],[PEMBULATAN]]*O29</f>
        <v>71662.5</v>
      </c>
    </row>
    <row r="30" spans="1:16" ht="26.25" customHeight="1" x14ac:dyDescent="0.2">
      <c r="A30" s="14"/>
      <c r="B30" s="74"/>
      <c r="C30" s="95" t="s">
        <v>979</v>
      </c>
      <c r="D30" s="96" t="s">
        <v>83</v>
      </c>
      <c r="E30" s="97">
        <v>44500</v>
      </c>
      <c r="F30" s="98" t="s">
        <v>119</v>
      </c>
      <c r="G30" s="97">
        <v>44503</v>
      </c>
      <c r="H30" s="99" t="s">
        <v>879</v>
      </c>
      <c r="I30" s="100">
        <v>45</v>
      </c>
      <c r="J30" s="100">
        <v>37</v>
      </c>
      <c r="K30" s="100">
        <v>27</v>
      </c>
      <c r="L30" s="100">
        <v>14</v>
      </c>
      <c r="M30" s="101">
        <v>11.23875</v>
      </c>
      <c r="N30" s="107">
        <v>14</v>
      </c>
      <c r="O30" s="64">
        <v>7000</v>
      </c>
      <c r="P30" s="65">
        <f>Table22457891011234567891011121314151617181920212223242526272829303132333435363738394041424344454647484950515253545556[[#This Row],[PEMBULATAN]]*O30</f>
        <v>98000</v>
      </c>
    </row>
    <row r="31" spans="1:16" ht="26.25" customHeight="1" x14ac:dyDescent="0.2">
      <c r="A31" s="14"/>
      <c r="B31" s="74"/>
      <c r="C31" s="95" t="s">
        <v>980</v>
      </c>
      <c r="D31" s="96" t="s">
        <v>83</v>
      </c>
      <c r="E31" s="97">
        <v>44500</v>
      </c>
      <c r="F31" s="98" t="s">
        <v>119</v>
      </c>
      <c r="G31" s="97">
        <v>44503</v>
      </c>
      <c r="H31" s="99" t="s">
        <v>879</v>
      </c>
      <c r="I31" s="100">
        <v>105</v>
      </c>
      <c r="J31" s="100">
        <v>70</v>
      </c>
      <c r="K31" s="100">
        <v>18</v>
      </c>
      <c r="L31" s="100">
        <v>35</v>
      </c>
      <c r="M31" s="101">
        <v>33.075000000000003</v>
      </c>
      <c r="N31" s="107">
        <v>35</v>
      </c>
      <c r="O31" s="64">
        <v>7000</v>
      </c>
      <c r="P31" s="65">
        <f>Table22457891011234567891011121314151617181920212223242526272829303132333435363738394041424344454647484950515253545556[[#This Row],[PEMBULATAN]]*O31</f>
        <v>245000</v>
      </c>
    </row>
    <row r="32" spans="1:16" ht="22.5" customHeight="1" x14ac:dyDescent="0.2">
      <c r="A32" s="143" t="s">
        <v>30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5"/>
      <c r="M32" s="78">
        <f>SUBTOTAL(109,Table22457891011234567891011121314151617181920212223242526272829303132333435363738394041424344454647484950515253545556[KG VOLUME])</f>
        <v>372.03300000000002</v>
      </c>
      <c r="N32" s="68">
        <f>SUM(N3:N31)</f>
        <v>426.71775000000002</v>
      </c>
      <c r="O32" s="146">
        <f>SUM(P3:P31)</f>
        <v>2987024.25</v>
      </c>
      <c r="P32" s="147"/>
    </row>
    <row r="33" spans="1:16" ht="18" customHeight="1" x14ac:dyDescent="0.2">
      <c r="A33" s="85"/>
      <c r="B33" s="56" t="s">
        <v>42</v>
      </c>
      <c r="C33" s="55"/>
      <c r="D33" s="57" t="s">
        <v>43</v>
      </c>
      <c r="E33" s="85"/>
      <c r="F33" s="85"/>
      <c r="G33" s="85"/>
      <c r="H33" s="85"/>
      <c r="I33" s="85"/>
      <c r="J33" s="85"/>
      <c r="K33" s="85"/>
      <c r="L33" s="85"/>
      <c r="M33" s="86"/>
      <c r="N33" s="87" t="s">
        <v>52</v>
      </c>
      <c r="O33" s="88"/>
      <c r="P33" s="88">
        <v>0</v>
      </c>
    </row>
    <row r="34" spans="1:16" ht="18" customHeight="1" thickBot="1" x14ac:dyDescent="0.25">
      <c r="A34" s="85"/>
      <c r="B34" s="56"/>
      <c r="C34" s="55"/>
      <c r="D34" s="57"/>
      <c r="E34" s="85"/>
      <c r="F34" s="85"/>
      <c r="G34" s="85"/>
      <c r="H34" s="85"/>
      <c r="I34" s="85"/>
      <c r="J34" s="85"/>
      <c r="K34" s="85"/>
      <c r="L34" s="85"/>
      <c r="M34" s="86"/>
      <c r="N34" s="89" t="s">
        <v>53</v>
      </c>
      <c r="O34" s="90"/>
      <c r="P34" s="90">
        <f>O32-P33</f>
        <v>2987024.25</v>
      </c>
    </row>
    <row r="35" spans="1:16" ht="18" customHeight="1" x14ac:dyDescent="0.2">
      <c r="A35" s="11"/>
      <c r="H35" s="63"/>
      <c r="N35" s="62" t="s">
        <v>31</v>
      </c>
      <c r="P35" s="69">
        <f>P34*1%</f>
        <v>29870.2425</v>
      </c>
    </row>
    <row r="36" spans="1:16" ht="18" customHeight="1" thickBot="1" x14ac:dyDescent="0.25">
      <c r="A36" s="11"/>
      <c r="H36" s="63"/>
      <c r="N36" s="62" t="s">
        <v>54</v>
      </c>
      <c r="P36" s="71">
        <f>P34*2%</f>
        <v>59740.485000000001</v>
      </c>
    </row>
    <row r="37" spans="1:16" ht="18" customHeight="1" x14ac:dyDescent="0.2">
      <c r="A37" s="11"/>
      <c r="H37" s="63"/>
      <c r="N37" s="66" t="s">
        <v>32</v>
      </c>
      <c r="O37" s="67"/>
      <c r="P37" s="70">
        <f>P34+P35-P36</f>
        <v>2957154.0075000003</v>
      </c>
    </row>
    <row r="39" spans="1:16" x14ac:dyDescent="0.2">
      <c r="A39" s="11"/>
      <c r="H39" s="63"/>
      <c r="P39" s="71"/>
    </row>
    <row r="40" spans="1:16" x14ac:dyDescent="0.2">
      <c r="A40" s="11"/>
      <c r="H40" s="63"/>
      <c r="O40" s="58"/>
      <c r="P40" s="71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  <row r="47" spans="1:16" s="3" customFormat="1" x14ac:dyDescent="0.25">
      <c r="A47" s="11"/>
      <c r="B47" s="2"/>
      <c r="C47" s="2"/>
      <c r="E47" s="12"/>
      <c r="H47" s="63"/>
      <c r="N47" s="15"/>
      <c r="O47" s="15"/>
      <c r="P47" s="15"/>
    </row>
    <row r="48" spans="1:16" s="3" customFormat="1" x14ac:dyDescent="0.25">
      <c r="A48" s="11"/>
      <c r="B48" s="2"/>
      <c r="C48" s="2"/>
      <c r="E48" s="12"/>
      <c r="H48" s="63"/>
      <c r="N48" s="15"/>
      <c r="O48" s="15"/>
      <c r="P48" s="15"/>
    </row>
    <row r="49" spans="1:16" s="3" customFormat="1" x14ac:dyDescent="0.25">
      <c r="A49" s="11"/>
      <c r="B49" s="2"/>
      <c r="C49" s="2"/>
      <c r="E49" s="12"/>
      <c r="H49" s="63"/>
      <c r="N49" s="15"/>
      <c r="O49" s="15"/>
      <c r="P49" s="15"/>
    </row>
    <row r="50" spans="1:16" s="3" customFormat="1" x14ac:dyDescent="0.25">
      <c r="A50" s="11"/>
      <c r="B50" s="2"/>
      <c r="C50" s="2"/>
      <c r="E50" s="12"/>
      <c r="H50" s="63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</sheetData>
  <mergeCells count="2">
    <mergeCell ref="A32:L32"/>
    <mergeCell ref="O32:P32"/>
  </mergeCells>
  <conditionalFormatting sqref="B3">
    <cfRule type="duplicateValues" dxfId="16" priority="2"/>
  </conditionalFormatting>
  <conditionalFormatting sqref="B4:B31">
    <cfRule type="duplicateValues" dxfId="15" priority="8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M9" sqref="M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402164</v>
      </c>
      <c r="B3" s="73" t="s">
        <v>146</v>
      </c>
      <c r="C3" s="9" t="s">
        <v>147</v>
      </c>
      <c r="D3" s="75" t="s">
        <v>83</v>
      </c>
      <c r="E3" s="13" t="s">
        <v>127</v>
      </c>
      <c r="F3" s="75" t="s">
        <v>119</v>
      </c>
      <c r="G3" s="13">
        <v>44474.625</v>
      </c>
      <c r="H3" s="10" t="s">
        <v>120</v>
      </c>
      <c r="I3" s="1">
        <v>93</v>
      </c>
      <c r="J3" s="1">
        <v>53</v>
      </c>
      <c r="K3" s="1">
        <v>34</v>
      </c>
      <c r="L3" s="1">
        <v>30</v>
      </c>
      <c r="M3" s="79">
        <v>41.896500000000003</v>
      </c>
      <c r="N3" s="103">
        <v>41.896500000000003</v>
      </c>
      <c r="O3" s="64">
        <v>7000</v>
      </c>
      <c r="P3" s="65">
        <f>Table2245789101123456[[#This Row],[PEMBULATAN]]*O3</f>
        <v>293275.5</v>
      </c>
    </row>
    <row r="4" spans="1:16" ht="26.25" customHeight="1" x14ac:dyDescent="0.2">
      <c r="A4" s="14"/>
      <c r="B4" s="74"/>
      <c r="C4" s="9" t="s">
        <v>148</v>
      </c>
      <c r="D4" s="75" t="s">
        <v>83</v>
      </c>
      <c r="E4" s="13" t="s">
        <v>127</v>
      </c>
      <c r="F4" s="75" t="s">
        <v>119</v>
      </c>
      <c r="G4" s="13">
        <v>44474.625</v>
      </c>
      <c r="H4" s="10" t="s">
        <v>120</v>
      </c>
      <c r="I4" s="1">
        <v>67</v>
      </c>
      <c r="J4" s="1">
        <v>53</v>
      </c>
      <c r="K4" s="1">
        <v>58</v>
      </c>
      <c r="L4" s="1">
        <v>37</v>
      </c>
      <c r="M4" s="79">
        <v>51.4895</v>
      </c>
      <c r="N4" s="103">
        <v>52</v>
      </c>
      <c r="O4" s="64">
        <v>7000</v>
      </c>
      <c r="P4" s="65">
        <f>Table2245789101123456[[#This Row],[PEMBULATAN]]*O4</f>
        <v>364000</v>
      </c>
    </row>
    <row r="5" spans="1:16" ht="26.25" customHeight="1" x14ac:dyDescent="0.2">
      <c r="A5" s="14"/>
      <c r="B5" s="74"/>
      <c r="C5" s="95" t="s">
        <v>149</v>
      </c>
      <c r="D5" s="96" t="s">
        <v>83</v>
      </c>
      <c r="E5" s="97" t="s">
        <v>127</v>
      </c>
      <c r="F5" s="98" t="s">
        <v>119</v>
      </c>
      <c r="G5" s="97">
        <v>44474.625</v>
      </c>
      <c r="H5" s="99" t="s">
        <v>120</v>
      </c>
      <c r="I5" s="100">
        <v>67</v>
      </c>
      <c r="J5" s="100">
        <v>59</v>
      </c>
      <c r="K5" s="100">
        <v>54</v>
      </c>
      <c r="L5" s="100">
        <v>37</v>
      </c>
      <c r="M5" s="101">
        <v>53.365499999999997</v>
      </c>
      <c r="N5" s="107">
        <v>54</v>
      </c>
      <c r="O5" s="64">
        <v>7000</v>
      </c>
      <c r="P5" s="65">
        <f>Table2245789101123456[[#This Row],[PEMBULATAN]]*O5</f>
        <v>378000</v>
      </c>
    </row>
    <row r="6" spans="1:16" ht="26.25" customHeight="1" x14ac:dyDescent="0.2">
      <c r="A6" s="14"/>
      <c r="B6" s="74"/>
      <c r="C6" s="95" t="s">
        <v>150</v>
      </c>
      <c r="D6" s="96" t="s">
        <v>83</v>
      </c>
      <c r="E6" s="97" t="s">
        <v>127</v>
      </c>
      <c r="F6" s="98" t="s">
        <v>119</v>
      </c>
      <c r="G6" s="97">
        <v>44474.625</v>
      </c>
      <c r="H6" s="99" t="s">
        <v>120</v>
      </c>
      <c r="I6" s="100">
        <v>60</v>
      </c>
      <c r="J6" s="100">
        <v>53</v>
      </c>
      <c r="K6" s="100">
        <v>30</v>
      </c>
      <c r="L6" s="100">
        <v>26</v>
      </c>
      <c r="M6" s="101">
        <v>23.85</v>
      </c>
      <c r="N6" s="107">
        <v>26</v>
      </c>
      <c r="O6" s="64">
        <v>7000</v>
      </c>
      <c r="P6" s="65">
        <f>Table2245789101123456[[#This Row],[PEMBULATAN]]*O6</f>
        <v>182000</v>
      </c>
    </row>
    <row r="7" spans="1:16" ht="26.25" customHeight="1" x14ac:dyDescent="0.2">
      <c r="A7" s="14"/>
      <c r="B7" s="74"/>
      <c r="C7" s="95" t="s">
        <v>151</v>
      </c>
      <c r="D7" s="96" t="s">
        <v>83</v>
      </c>
      <c r="E7" s="97" t="s">
        <v>127</v>
      </c>
      <c r="F7" s="98" t="s">
        <v>119</v>
      </c>
      <c r="G7" s="97">
        <v>44474.625</v>
      </c>
      <c r="H7" s="99" t="s">
        <v>120</v>
      </c>
      <c r="I7" s="100">
        <v>68</v>
      </c>
      <c r="J7" s="100">
        <v>51</v>
      </c>
      <c r="K7" s="100">
        <v>60</v>
      </c>
      <c r="L7" s="100">
        <v>37</v>
      </c>
      <c r="M7" s="101">
        <v>52.02</v>
      </c>
      <c r="N7" s="107">
        <v>52.02</v>
      </c>
      <c r="O7" s="64">
        <v>7000</v>
      </c>
      <c r="P7" s="65">
        <f>Table2245789101123456[[#This Row],[PEMBULATAN]]*O7</f>
        <v>364140</v>
      </c>
    </row>
    <row r="8" spans="1:16" ht="22.5" customHeight="1" x14ac:dyDescent="0.2">
      <c r="A8" s="143" t="s">
        <v>30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5"/>
      <c r="M8" s="78">
        <f>SUBTOTAL(109,Table2245789101123456[KG VOLUME])</f>
        <v>222.6215</v>
      </c>
      <c r="N8" s="68">
        <f>SUM(N3:N7)</f>
        <v>225.91650000000001</v>
      </c>
      <c r="O8" s="146">
        <f>SUM(P3:P7)</f>
        <v>1581415.5</v>
      </c>
      <c r="P8" s="147"/>
    </row>
    <row r="9" spans="1:16" ht="18" customHeight="1" x14ac:dyDescent="0.2">
      <c r="A9" s="85"/>
      <c r="B9" s="56" t="s">
        <v>42</v>
      </c>
      <c r="C9" s="55"/>
      <c r="D9" s="57" t="s">
        <v>43</v>
      </c>
      <c r="E9" s="85"/>
      <c r="F9" s="85"/>
      <c r="G9" s="85"/>
      <c r="H9" s="85"/>
      <c r="I9" s="85"/>
      <c r="J9" s="85"/>
      <c r="K9" s="85"/>
      <c r="L9" s="85"/>
      <c r="M9" s="86"/>
      <c r="N9" s="87" t="s">
        <v>52</v>
      </c>
      <c r="O9" s="88"/>
      <c r="P9" s="88">
        <v>0</v>
      </c>
    </row>
    <row r="10" spans="1:16" ht="18" customHeight="1" thickBot="1" x14ac:dyDescent="0.25">
      <c r="A10" s="85"/>
      <c r="B10" s="56"/>
      <c r="C10" s="55"/>
      <c r="D10" s="57"/>
      <c r="E10" s="85"/>
      <c r="F10" s="85"/>
      <c r="G10" s="85"/>
      <c r="H10" s="85"/>
      <c r="I10" s="85"/>
      <c r="J10" s="85"/>
      <c r="K10" s="85"/>
      <c r="L10" s="85"/>
      <c r="M10" s="86"/>
      <c r="N10" s="89" t="s">
        <v>53</v>
      </c>
      <c r="O10" s="90"/>
      <c r="P10" s="90">
        <f>O8-P9</f>
        <v>1581415.5</v>
      </c>
    </row>
    <row r="11" spans="1:16" ht="18" customHeight="1" x14ac:dyDescent="0.2">
      <c r="A11" s="11"/>
      <c r="C11" s="2" t="s">
        <v>253</v>
      </c>
      <c r="H11" s="63"/>
      <c r="N11" s="62" t="s">
        <v>31</v>
      </c>
      <c r="P11" s="69">
        <f>P10*1%</f>
        <v>15814.155000000001</v>
      </c>
    </row>
    <row r="12" spans="1:16" ht="18" customHeight="1" thickBot="1" x14ac:dyDescent="0.25">
      <c r="A12" s="11"/>
      <c r="H12" s="63"/>
      <c r="N12" s="62" t="s">
        <v>54</v>
      </c>
      <c r="P12" s="71">
        <f>P10*2%</f>
        <v>31628.31</v>
      </c>
    </row>
    <row r="13" spans="1:16" ht="18" customHeight="1" x14ac:dyDescent="0.2">
      <c r="A13" s="11"/>
      <c r="H13" s="63"/>
      <c r="N13" s="66" t="s">
        <v>32</v>
      </c>
      <c r="O13" s="67"/>
      <c r="P13" s="70">
        <f>P10+P11-P12</f>
        <v>1565601.345</v>
      </c>
    </row>
    <row r="15" spans="1:16" x14ac:dyDescent="0.2">
      <c r="A15" s="11"/>
      <c r="H15" s="63"/>
      <c r="P15" s="71"/>
    </row>
    <row r="16" spans="1:16" x14ac:dyDescent="0.2">
      <c r="A16" s="11"/>
      <c r="H16" s="63"/>
      <c r="O16" s="58"/>
      <c r="P16" s="71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857" priority="2"/>
  </conditionalFormatting>
  <conditionalFormatting sqref="B4:B7">
    <cfRule type="duplicateValues" dxfId="856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402166</v>
      </c>
      <c r="B3" s="73" t="s">
        <v>152</v>
      </c>
      <c r="C3" s="9" t="s">
        <v>153</v>
      </c>
      <c r="D3" s="75" t="s">
        <v>83</v>
      </c>
      <c r="E3" s="13">
        <v>44473</v>
      </c>
      <c r="F3" s="75" t="s">
        <v>119</v>
      </c>
      <c r="G3" s="13">
        <v>44474.625</v>
      </c>
      <c r="H3" s="10" t="s">
        <v>120</v>
      </c>
      <c r="I3" s="1">
        <v>57</v>
      </c>
      <c r="J3" s="1">
        <v>43</v>
      </c>
      <c r="K3" s="1">
        <v>48</v>
      </c>
      <c r="L3" s="1">
        <v>36</v>
      </c>
      <c r="M3" s="79">
        <v>29.411999999999999</v>
      </c>
      <c r="N3" s="103">
        <v>36</v>
      </c>
      <c r="O3" s="64">
        <v>7000</v>
      </c>
      <c r="P3" s="65">
        <f>Table22457891011234567[[#This Row],[PEMBULATAN]]*O3</f>
        <v>252000</v>
      </c>
    </row>
    <row r="4" spans="1:16" ht="26.25" customHeight="1" x14ac:dyDescent="0.2">
      <c r="A4" s="14"/>
      <c r="B4" s="74"/>
      <c r="C4" s="9" t="s">
        <v>154</v>
      </c>
      <c r="D4" s="75" t="s">
        <v>83</v>
      </c>
      <c r="E4" s="13">
        <v>44473</v>
      </c>
      <c r="F4" s="75" t="s">
        <v>119</v>
      </c>
      <c r="G4" s="13">
        <v>44474.625</v>
      </c>
      <c r="H4" s="10" t="s">
        <v>120</v>
      </c>
      <c r="I4" s="1">
        <v>31</v>
      </c>
      <c r="J4" s="1">
        <v>29</v>
      </c>
      <c r="K4" s="1">
        <v>18</v>
      </c>
      <c r="L4" s="1">
        <v>4</v>
      </c>
      <c r="M4" s="79">
        <v>4.0454999999999997</v>
      </c>
      <c r="N4" s="103">
        <v>4.0454999999999997</v>
      </c>
      <c r="O4" s="64">
        <v>7000</v>
      </c>
      <c r="P4" s="65">
        <f>Table22457891011234567[[#This Row],[PEMBULATAN]]*O4</f>
        <v>28318.499999999996</v>
      </c>
    </row>
    <row r="5" spans="1:16" ht="26.25" customHeight="1" x14ac:dyDescent="0.2">
      <c r="A5" s="14"/>
      <c r="B5" s="74"/>
      <c r="C5" s="95" t="s">
        <v>155</v>
      </c>
      <c r="D5" s="96" t="s">
        <v>83</v>
      </c>
      <c r="E5" s="97">
        <v>44473</v>
      </c>
      <c r="F5" s="98" t="s">
        <v>119</v>
      </c>
      <c r="G5" s="97">
        <v>44474.625</v>
      </c>
      <c r="H5" s="99" t="s">
        <v>120</v>
      </c>
      <c r="I5" s="100">
        <v>50</v>
      </c>
      <c r="J5" s="100">
        <v>36</v>
      </c>
      <c r="K5" s="100">
        <v>20</v>
      </c>
      <c r="L5" s="100">
        <v>5</v>
      </c>
      <c r="M5" s="101">
        <v>9</v>
      </c>
      <c r="N5" s="107">
        <v>9</v>
      </c>
      <c r="O5" s="64">
        <v>7000</v>
      </c>
      <c r="P5" s="65">
        <f>Table22457891011234567[[#This Row],[PEMBULATAN]]*O5</f>
        <v>63000</v>
      </c>
    </row>
    <row r="6" spans="1:16" ht="26.25" customHeight="1" x14ac:dyDescent="0.2">
      <c r="A6" s="14"/>
      <c r="B6" s="74"/>
      <c r="C6" s="95" t="s">
        <v>156</v>
      </c>
      <c r="D6" s="96" t="s">
        <v>83</v>
      </c>
      <c r="E6" s="97">
        <v>44473</v>
      </c>
      <c r="F6" s="98" t="s">
        <v>119</v>
      </c>
      <c r="G6" s="97">
        <v>44474.625</v>
      </c>
      <c r="H6" s="99" t="s">
        <v>120</v>
      </c>
      <c r="I6" s="100">
        <v>48</v>
      </c>
      <c r="J6" s="100">
        <v>36</v>
      </c>
      <c r="K6" s="100">
        <v>22</v>
      </c>
      <c r="L6" s="100">
        <v>9</v>
      </c>
      <c r="M6" s="101">
        <v>9.5039999999999996</v>
      </c>
      <c r="N6" s="107">
        <v>9.5039999999999996</v>
      </c>
      <c r="O6" s="64">
        <v>7000</v>
      </c>
      <c r="P6" s="65">
        <f>Table22457891011234567[[#This Row],[PEMBULATAN]]*O6</f>
        <v>66528</v>
      </c>
    </row>
    <row r="7" spans="1:16" ht="22.5" customHeight="1" x14ac:dyDescent="0.2">
      <c r="A7" s="143" t="s">
        <v>30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5"/>
      <c r="M7" s="78">
        <f>SUBTOTAL(109,Table22457891011234567[KG VOLUME])</f>
        <v>51.961499999999994</v>
      </c>
      <c r="N7" s="68">
        <f>SUM(N3:N6)</f>
        <v>58.549499999999995</v>
      </c>
      <c r="O7" s="146">
        <f>SUM(P3:P6)</f>
        <v>409846.5</v>
      </c>
      <c r="P7" s="147"/>
    </row>
    <row r="8" spans="1:16" ht="18" customHeight="1" x14ac:dyDescent="0.2">
      <c r="A8" s="85"/>
      <c r="B8" s="56" t="s">
        <v>42</v>
      </c>
      <c r="C8" s="55"/>
      <c r="D8" s="57" t="s">
        <v>43</v>
      </c>
      <c r="E8" s="85"/>
      <c r="F8" s="85"/>
      <c r="G8" s="85"/>
      <c r="H8" s="85"/>
      <c r="I8" s="85"/>
      <c r="J8" s="85"/>
      <c r="K8" s="85"/>
      <c r="L8" s="85"/>
      <c r="M8" s="86"/>
      <c r="N8" s="87" t="s">
        <v>52</v>
      </c>
      <c r="O8" s="88"/>
      <c r="P8" s="88">
        <v>0</v>
      </c>
    </row>
    <row r="9" spans="1:16" ht="18" customHeight="1" thickBot="1" x14ac:dyDescent="0.25">
      <c r="A9" s="85"/>
      <c r="B9" s="56"/>
      <c r="C9" s="55"/>
      <c r="D9" s="57"/>
      <c r="E9" s="85"/>
      <c r="F9" s="85"/>
      <c r="G9" s="85"/>
      <c r="H9" s="85"/>
      <c r="I9" s="85"/>
      <c r="J9" s="85"/>
      <c r="K9" s="85"/>
      <c r="L9" s="85"/>
      <c r="M9" s="86"/>
      <c r="N9" s="89" t="s">
        <v>53</v>
      </c>
      <c r="O9" s="90"/>
      <c r="P9" s="90">
        <f>O7-P8</f>
        <v>409846.5</v>
      </c>
    </row>
    <row r="10" spans="1:16" ht="18" customHeight="1" x14ac:dyDescent="0.2">
      <c r="A10" s="11"/>
      <c r="H10" s="63"/>
      <c r="N10" s="62" t="s">
        <v>31</v>
      </c>
      <c r="P10" s="69">
        <f>P9*1%</f>
        <v>4098.4650000000001</v>
      </c>
    </row>
    <row r="11" spans="1:16" ht="18" customHeight="1" thickBot="1" x14ac:dyDescent="0.25">
      <c r="A11" s="11"/>
      <c r="H11" s="63"/>
      <c r="N11" s="62" t="s">
        <v>54</v>
      </c>
      <c r="P11" s="71">
        <f>P9*2%</f>
        <v>8196.93</v>
      </c>
    </row>
    <row r="12" spans="1:16" ht="18" customHeight="1" x14ac:dyDescent="0.2">
      <c r="A12" s="11"/>
      <c r="H12" s="63"/>
      <c r="N12" s="66" t="s">
        <v>32</v>
      </c>
      <c r="O12" s="67"/>
      <c r="P12" s="70">
        <f>P9+P10-P11</f>
        <v>405748.03500000003</v>
      </c>
    </row>
    <row r="14" spans="1:16" x14ac:dyDescent="0.2">
      <c r="A14" s="11"/>
      <c r="H14" s="63"/>
      <c r="P14" s="71"/>
    </row>
    <row r="15" spans="1:16" x14ac:dyDescent="0.2">
      <c r="A15" s="11"/>
      <c r="H15" s="63"/>
      <c r="O15" s="58"/>
      <c r="P15" s="71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</sheetData>
  <mergeCells count="2">
    <mergeCell ref="A7:L7"/>
    <mergeCell ref="O7:P7"/>
  </mergeCells>
  <conditionalFormatting sqref="B3">
    <cfRule type="duplicateValues" dxfId="840" priority="2"/>
  </conditionalFormatting>
  <conditionalFormatting sqref="B4:B6">
    <cfRule type="duplicateValues" dxfId="839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6"/>
  <sheetViews>
    <sheetView zoomScale="110" zoomScaleNormal="110" workbookViewId="0">
      <pane xSplit="3" ySplit="2" topLeftCell="D22" activePane="bottomRight" state="frozen"/>
      <selection pane="topRight" activeCell="B1" sqref="B1"/>
      <selection pane="bottomLeft" activeCell="A3" sqref="A3"/>
      <selection pane="bottomRight" activeCell="O27" sqref="O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2">
        <v>402169</v>
      </c>
      <c r="B3" s="73" t="s">
        <v>157</v>
      </c>
      <c r="C3" s="9" t="s">
        <v>158</v>
      </c>
      <c r="D3" s="75" t="s">
        <v>83</v>
      </c>
      <c r="E3" s="13">
        <v>44474</v>
      </c>
      <c r="F3" s="75" t="s">
        <v>119</v>
      </c>
      <c r="G3" s="13">
        <v>44474.625</v>
      </c>
      <c r="H3" s="10" t="s">
        <v>120</v>
      </c>
      <c r="I3" s="1">
        <v>55</v>
      </c>
      <c r="J3" s="1">
        <v>56</v>
      </c>
      <c r="K3" s="1">
        <v>33</v>
      </c>
      <c r="L3" s="1">
        <v>25</v>
      </c>
      <c r="M3" s="79">
        <v>25.41</v>
      </c>
      <c r="N3" s="103">
        <v>26</v>
      </c>
      <c r="O3" s="64">
        <v>7000</v>
      </c>
      <c r="P3" s="65">
        <f>Table224578910112345678[[#This Row],[PEMBULATAN]]*O3</f>
        <v>182000</v>
      </c>
    </row>
    <row r="4" spans="1:16" ht="23.25" customHeight="1" x14ac:dyDescent="0.2">
      <c r="A4" s="14"/>
      <c r="B4" s="74"/>
      <c r="C4" s="9" t="s">
        <v>159</v>
      </c>
      <c r="D4" s="75" t="s">
        <v>83</v>
      </c>
      <c r="E4" s="13">
        <v>44474</v>
      </c>
      <c r="F4" s="75" t="s">
        <v>119</v>
      </c>
      <c r="G4" s="13">
        <v>44474.625</v>
      </c>
      <c r="H4" s="10" t="s">
        <v>120</v>
      </c>
      <c r="I4" s="1">
        <v>92</v>
      </c>
      <c r="J4" s="1">
        <v>52</v>
      </c>
      <c r="K4" s="1">
        <v>17</v>
      </c>
      <c r="L4" s="1">
        <v>14</v>
      </c>
      <c r="M4" s="79">
        <v>20.332000000000001</v>
      </c>
      <c r="N4" s="103">
        <v>21</v>
      </c>
      <c r="O4" s="64">
        <v>7000</v>
      </c>
      <c r="P4" s="65">
        <f>Table224578910112345678[[#This Row],[PEMBULATAN]]*O4</f>
        <v>147000</v>
      </c>
    </row>
    <row r="5" spans="1:16" ht="23.25" customHeight="1" x14ac:dyDescent="0.2">
      <c r="A5" s="14"/>
      <c r="B5" s="14"/>
      <c r="C5" s="9" t="s">
        <v>160</v>
      </c>
      <c r="D5" s="75" t="s">
        <v>83</v>
      </c>
      <c r="E5" s="13">
        <v>44474</v>
      </c>
      <c r="F5" s="75" t="s">
        <v>119</v>
      </c>
      <c r="G5" s="13">
        <v>44474.625</v>
      </c>
      <c r="H5" s="10" t="s">
        <v>120</v>
      </c>
      <c r="I5" s="1">
        <v>44</v>
      </c>
      <c r="J5" s="1">
        <v>23</v>
      </c>
      <c r="K5" s="1">
        <v>17</v>
      </c>
      <c r="L5" s="1">
        <v>6</v>
      </c>
      <c r="M5" s="79">
        <v>4.3010000000000002</v>
      </c>
      <c r="N5" s="103">
        <v>6</v>
      </c>
      <c r="O5" s="64">
        <v>7000</v>
      </c>
      <c r="P5" s="65">
        <f>Table224578910112345678[[#This Row],[PEMBULATAN]]*O5</f>
        <v>42000</v>
      </c>
    </row>
    <row r="6" spans="1:16" ht="23.25" customHeight="1" x14ac:dyDescent="0.2">
      <c r="A6" s="14"/>
      <c r="B6" s="14"/>
      <c r="C6" s="95" t="s">
        <v>161</v>
      </c>
      <c r="D6" s="96" t="s">
        <v>83</v>
      </c>
      <c r="E6" s="97">
        <v>44474</v>
      </c>
      <c r="F6" s="98" t="s">
        <v>119</v>
      </c>
      <c r="G6" s="97">
        <v>44474.625</v>
      </c>
      <c r="H6" s="99" t="s">
        <v>120</v>
      </c>
      <c r="I6" s="100">
        <v>51</v>
      </c>
      <c r="J6" s="100">
        <v>42</v>
      </c>
      <c r="K6" s="100">
        <v>23</v>
      </c>
      <c r="L6" s="100">
        <v>10</v>
      </c>
      <c r="M6" s="101">
        <v>12.3165</v>
      </c>
      <c r="N6" s="107">
        <v>13</v>
      </c>
      <c r="O6" s="64">
        <v>7000</v>
      </c>
      <c r="P6" s="65">
        <f>Table224578910112345678[[#This Row],[PEMBULATAN]]*O6</f>
        <v>91000</v>
      </c>
    </row>
    <row r="7" spans="1:16" ht="23.25" customHeight="1" x14ac:dyDescent="0.2">
      <c r="A7" s="14"/>
      <c r="B7" s="14"/>
      <c r="C7" s="95" t="s">
        <v>162</v>
      </c>
      <c r="D7" s="96" t="s">
        <v>83</v>
      </c>
      <c r="E7" s="97">
        <v>44474</v>
      </c>
      <c r="F7" s="98" t="s">
        <v>119</v>
      </c>
      <c r="G7" s="97">
        <v>44474.625</v>
      </c>
      <c r="H7" s="99" t="s">
        <v>120</v>
      </c>
      <c r="I7" s="100">
        <v>47</v>
      </c>
      <c r="J7" s="100">
        <v>45</v>
      </c>
      <c r="K7" s="100">
        <v>35</v>
      </c>
      <c r="L7" s="100">
        <v>10</v>
      </c>
      <c r="M7" s="101">
        <v>18.506250000000001</v>
      </c>
      <c r="N7" s="107">
        <v>18.506250000000001</v>
      </c>
      <c r="O7" s="64">
        <v>7000</v>
      </c>
      <c r="P7" s="65">
        <f>Table224578910112345678[[#This Row],[PEMBULATAN]]*O7</f>
        <v>129543.75000000001</v>
      </c>
    </row>
    <row r="8" spans="1:16" ht="23.25" customHeight="1" x14ac:dyDescent="0.2">
      <c r="A8" s="14"/>
      <c r="B8" s="14"/>
      <c r="C8" s="95" t="s">
        <v>163</v>
      </c>
      <c r="D8" s="96" t="s">
        <v>83</v>
      </c>
      <c r="E8" s="97">
        <v>44474</v>
      </c>
      <c r="F8" s="98" t="s">
        <v>119</v>
      </c>
      <c r="G8" s="97">
        <v>44474.625</v>
      </c>
      <c r="H8" s="99" t="s">
        <v>120</v>
      </c>
      <c r="I8" s="100">
        <v>52</v>
      </c>
      <c r="J8" s="100">
        <v>40</v>
      </c>
      <c r="K8" s="100">
        <v>26</v>
      </c>
      <c r="L8" s="100">
        <v>11</v>
      </c>
      <c r="M8" s="101">
        <v>13.52</v>
      </c>
      <c r="N8" s="107">
        <v>13.52</v>
      </c>
      <c r="O8" s="64">
        <v>7000</v>
      </c>
      <c r="P8" s="65">
        <f>Table224578910112345678[[#This Row],[PEMBULATAN]]*O8</f>
        <v>94640</v>
      </c>
    </row>
    <row r="9" spans="1:16" ht="23.25" customHeight="1" x14ac:dyDescent="0.2">
      <c r="A9" s="14"/>
      <c r="B9" s="14"/>
      <c r="C9" s="95" t="s">
        <v>164</v>
      </c>
      <c r="D9" s="96" t="s">
        <v>83</v>
      </c>
      <c r="E9" s="97">
        <v>44474</v>
      </c>
      <c r="F9" s="98" t="s">
        <v>119</v>
      </c>
      <c r="G9" s="97">
        <v>44474.625</v>
      </c>
      <c r="H9" s="99" t="s">
        <v>120</v>
      </c>
      <c r="I9" s="100">
        <v>54</v>
      </c>
      <c r="J9" s="100">
        <v>40</v>
      </c>
      <c r="K9" s="100">
        <v>20</v>
      </c>
      <c r="L9" s="100">
        <v>17</v>
      </c>
      <c r="M9" s="101">
        <v>10.8</v>
      </c>
      <c r="N9" s="107">
        <v>17</v>
      </c>
      <c r="O9" s="64">
        <v>7000</v>
      </c>
      <c r="P9" s="65">
        <f>Table224578910112345678[[#This Row],[PEMBULATAN]]*O9</f>
        <v>119000</v>
      </c>
    </row>
    <row r="10" spans="1:16" ht="23.25" customHeight="1" x14ac:dyDescent="0.2">
      <c r="A10" s="14"/>
      <c r="B10" s="14"/>
      <c r="C10" s="95" t="s">
        <v>165</v>
      </c>
      <c r="D10" s="96" t="s">
        <v>83</v>
      </c>
      <c r="E10" s="97">
        <v>44474</v>
      </c>
      <c r="F10" s="98" t="s">
        <v>119</v>
      </c>
      <c r="G10" s="97">
        <v>44474.625</v>
      </c>
      <c r="H10" s="99" t="s">
        <v>120</v>
      </c>
      <c r="I10" s="100">
        <v>112</v>
      </c>
      <c r="J10" s="100">
        <v>74</v>
      </c>
      <c r="K10" s="100">
        <v>61</v>
      </c>
      <c r="L10" s="100">
        <v>10</v>
      </c>
      <c r="M10" s="101">
        <v>126.392</v>
      </c>
      <c r="N10" s="107">
        <v>127</v>
      </c>
      <c r="O10" s="64">
        <v>7000</v>
      </c>
      <c r="P10" s="65">
        <f>Table224578910112345678[[#This Row],[PEMBULATAN]]*O10</f>
        <v>889000</v>
      </c>
    </row>
    <row r="11" spans="1:16" ht="23.25" customHeight="1" x14ac:dyDescent="0.2">
      <c r="A11" s="14"/>
      <c r="B11" s="14"/>
      <c r="C11" s="95" t="s">
        <v>166</v>
      </c>
      <c r="D11" s="96" t="s">
        <v>83</v>
      </c>
      <c r="E11" s="97">
        <v>44474</v>
      </c>
      <c r="F11" s="98" t="s">
        <v>119</v>
      </c>
      <c r="G11" s="97">
        <v>44474.625</v>
      </c>
      <c r="H11" s="99" t="s">
        <v>120</v>
      </c>
      <c r="I11" s="100">
        <v>32</v>
      </c>
      <c r="J11" s="100">
        <v>27</v>
      </c>
      <c r="K11" s="100">
        <v>33</v>
      </c>
      <c r="L11" s="100">
        <v>14</v>
      </c>
      <c r="M11" s="101">
        <v>7.1280000000000001</v>
      </c>
      <c r="N11" s="107">
        <v>14</v>
      </c>
      <c r="O11" s="64">
        <v>7000</v>
      </c>
      <c r="P11" s="65">
        <f>Table224578910112345678[[#This Row],[PEMBULATAN]]*O11</f>
        <v>98000</v>
      </c>
    </row>
    <row r="12" spans="1:16" ht="23.25" customHeight="1" x14ac:dyDescent="0.2">
      <c r="A12" s="14"/>
      <c r="B12" s="14"/>
      <c r="C12" s="95" t="s">
        <v>167</v>
      </c>
      <c r="D12" s="96" t="s">
        <v>83</v>
      </c>
      <c r="E12" s="97">
        <v>44474</v>
      </c>
      <c r="F12" s="98" t="s">
        <v>119</v>
      </c>
      <c r="G12" s="97">
        <v>44474.625</v>
      </c>
      <c r="H12" s="99" t="s">
        <v>120</v>
      </c>
      <c r="I12" s="100">
        <v>37</v>
      </c>
      <c r="J12" s="100">
        <v>23</v>
      </c>
      <c r="K12" s="100">
        <v>27</v>
      </c>
      <c r="L12" s="100">
        <v>6</v>
      </c>
      <c r="M12" s="101">
        <v>5.7442500000000001</v>
      </c>
      <c r="N12" s="107">
        <v>6</v>
      </c>
      <c r="O12" s="64">
        <v>7000</v>
      </c>
      <c r="P12" s="65">
        <f>Table224578910112345678[[#This Row],[PEMBULATAN]]*O12</f>
        <v>42000</v>
      </c>
    </row>
    <row r="13" spans="1:16" ht="23.25" customHeight="1" x14ac:dyDescent="0.2">
      <c r="A13" s="14"/>
      <c r="B13" s="14"/>
      <c r="C13" s="95" t="s">
        <v>168</v>
      </c>
      <c r="D13" s="96" t="s">
        <v>83</v>
      </c>
      <c r="E13" s="97">
        <v>44474</v>
      </c>
      <c r="F13" s="98" t="s">
        <v>119</v>
      </c>
      <c r="G13" s="97">
        <v>44474.625</v>
      </c>
      <c r="H13" s="99" t="s">
        <v>120</v>
      </c>
      <c r="I13" s="100">
        <v>35</v>
      </c>
      <c r="J13" s="100">
        <v>20</v>
      </c>
      <c r="K13" s="100">
        <v>24</v>
      </c>
      <c r="L13" s="100">
        <v>20</v>
      </c>
      <c r="M13" s="101">
        <v>4.2</v>
      </c>
      <c r="N13" s="107">
        <v>20</v>
      </c>
      <c r="O13" s="64">
        <v>7000</v>
      </c>
      <c r="P13" s="65">
        <f>Table224578910112345678[[#This Row],[PEMBULATAN]]*O13</f>
        <v>140000</v>
      </c>
    </row>
    <row r="14" spans="1:16" ht="23.25" customHeight="1" x14ac:dyDescent="0.2">
      <c r="A14" s="14"/>
      <c r="B14" s="14"/>
      <c r="C14" s="95" t="s">
        <v>169</v>
      </c>
      <c r="D14" s="96" t="s">
        <v>83</v>
      </c>
      <c r="E14" s="97">
        <v>44474</v>
      </c>
      <c r="F14" s="98" t="s">
        <v>119</v>
      </c>
      <c r="G14" s="97">
        <v>44474.625</v>
      </c>
      <c r="H14" s="99" t="s">
        <v>120</v>
      </c>
      <c r="I14" s="100">
        <v>63</v>
      </c>
      <c r="J14" s="100">
        <v>33</v>
      </c>
      <c r="K14" s="100">
        <v>30</v>
      </c>
      <c r="L14" s="100">
        <v>10</v>
      </c>
      <c r="M14" s="101">
        <v>15.592499999999999</v>
      </c>
      <c r="N14" s="107">
        <v>15.592499999999999</v>
      </c>
      <c r="O14" s="64">
        <v>7000</v>
      </c>
      <c r="P14" s="65">
        <f>Table224578910112345678[[#This Row],[PEMBULATAN]]*O14</f>
        <v>109147.5</v>
      </c>
    </row>
    <row r="15" spans="1:16" ht="23.25" customHeight="1" x14ac:dyDescent="0.2">
      <c r="A15" s="14"/>
      <c r="B15" s="14"/>
      <c r="C15" s="95" t="s">
        <v>170</v>
      </c>
      <c r="D15" s="96" t="s">
        <v>83</v>
      </c>
      <c r="E15" s="97">
        <v>44474</v>
      </c>
      <c r="F15" s="98" t="s">
        <v>119</v>
      </c>
      <c r="G15" s="97">
        <v>44474.625</v>
      </c>
      <c r="H15" s="99" t="s">
        <v>120</v>
      </c>
      <c r="I15" s="100">
        <v>88</v>
      </c>
      <c r="J15" s="100">
        <v>73</v>
      </c>
      <c r="K15" s="100">
        <v>21</v>
      </c>
      <c r="L15" s="100">
        <v>20</v>
      </c>
      <c r="M15" s="101">
        <v>33.725999999999999</v>
      </c>
      <c r="N15" s="107">
        <v>33.725999999999999</v>
      </c>
      <c r="O15" s="64">
        <v>7000</v>
      </c>
      <c r="P15" s="65">
        <f>Table224578910112345678[[#This Row],[PEMBULATAN]]*O15</f>
        <v>236082</v>
      </c>
    </row>
    <row r="16" spans="1:16" ht="23.25" customHeight="1" x14ac:dyDescent="0.2">
      <c r="A16" s="14"/>
      <c r="B16" s="14"/>
      <c r="C16" s="95" t="s">
        <v>171</v>
      </c>
      <c r="D16" s="96" t="s">
        <v>83</v>
      </c>
      <c r="E16" s="97">
        <v>44474</v>
      </c>
      <c r="F16" s="98" t="s">
        <v>119</v>
      </c>
      <c r="G16" s="97">
        <v>44474.625</v>
      </c>
      <c r="H16" s="99" t="s">
        <v>120</v>
      </c>
      <c r="I16" s="100">
        <v>67</v>
      </c>
      <c r="J16" s="100">
        <v>50</v>
      </c>
      <c r="K16" s="100">
        <v>38</v>
      </c>
      <c r="L16" s="100">
        <v>20</v>
      </c>
      <c r="M16" s="101">
        <v>31.824999999999999</v>
      </c>
      <c r="N16" s="107">
        <v>31.824999999999999</v>
      </c>
      <c r="O16" s="64">
        <v>7000</v>
      </c>
      <c r="P16" s="65">
        <f>Table224578910112345678[[#This Row],[PEMBULATAN]]*O16</f>
        <v>222775</v>
      </c>
    </row>
    <row r="17" spans="1:16" ht="23.25" customHeight="1" x14ac:dyDescent="0.2">
      <c r="A17" s="14"/>
      <c r="B17" s="14"/>
      <c r="C17" s="95" t="s">
        <v>172</v>
      </c>
      <c r="D17" s="96" t="s">
        <v>83</v>
      </c>
      <c r="E17" s="97">
        <v>44474</v>
      </c>
      <c r="F17" s="98" t="s">
        <v>119</v>
      </c>
      <c r="G17" s="97">
        <v>44474.625</v>
      </c>
      <c r="H17" s="99" t="s">
        <v>120</v>
      </c>
      <c r="I17" s="100">
        <v>36</v>
      </c>
      <c r="J17" s="100">
        <v>34</v>
      </c>
      <c r="K17" s="100">
        <v>35</v>
      </c>
      <c r="L17" s="100">
        <v>9</v>
      </c>
      <c r="M17" s="101">
        <v>10.71</v>
      </c>
      <c r="N17" s="107">
        <v>10.71</v>
      </c>
      <c r="O17" s="64">
        <v>7000</v>
      </c>
      <c r="P17" s="65">
        <f>Table224578910112345678[[#This Row],[PEMBULATAN]]*O17</f>
        <v>74970</v>
      </c>
    </row>
    <row r="18" spans="1:16" ht="23.25" customHeight="1" x14ac:dyDescent="0.2">
      <c r="A18" s="14"/>
      <c r="B18" s="14"/>
      <c r="C18" s="95" t="s">
        <v>173</v>
      </c>
      <c r="D18" s="96" t="s">
        <v>83</v>
      </c>
      <c r="E18" s="97">
        <v>44474</v>
      </c>
      <c r="F18" s="98" t="s">
        <v>119</v>
      </c>
      <c r="G18" s="97">
        <v>44474.625</v>
      </c>
      <c r="H18" s="99" t="s">
        <v>120</v>
      </c>
      <c r="I18" s="100">
        <v>49</v>
      </c>
      <c r="J18" s="100">
        <v>33</v>
      </c>
      <c r="K18" s="100">
        <v>23</v>
      </c>
      <c r="L18" s="100">
        <v>7</v>
      </c>
      <c r="M18" s="101">
        <v>9.2977500000000006</v>
      </c>
      <c r="N18" s="107">
        <v>10</v>
      </c>
      <c r="O18" s="64">
        <v>7000</v>
      </c>
      <c r="P18" s="65">
        <f>Table224578910112345678[[#This Row],[PEMBULATAN]]*O18</f>
        <v>70000</v>
      </c>
    </row>
    <row r="19" spans="1:16" ht="23.25" customHeight="1" x14ac:dyDescent="0.2">
      <c r="A19" s="14"/>
      <c r="B19" s="110"/>
      <c r="C19" s="95" t="s">
        <v>174</v>
      </c>
      <c r="D19" s="96" t="s">
        <v>83</v>
      </c>
      <c r="E19" s="97">
        <v>44474</v>
      </c>
      <c r="F19" s="98" t="s">
        <v>119</v>
      </c>
      <c r="G19" s="97">
        <v>44474.625</v>
      </c>
      <c r="H19" s="99" t="s">
        <v>120</v>
      </c>
      <c r="I19" s="100">
        <v>32</v>
      </c>
      <c r="J19" s="100">
        <v>32</v>
      </c>
      <c r="K19" s="100">
        <v>24</v>
      </c>
      <c r="L19" s="100">
        <v>15</v>
      </c>
      <c r="M19" s="101">
        <v>6.1440000000000001</v>
      </c>
      <c r="N19" s="107">
        <v>15</v>
      </c>
      <c r="O19" s="64">
        <v>7000</v>
      </c>
      <c r="P19" s="65">
        <f>Table224578910112345678[[#This Row],[PEMBULATAN]]*O19</f>
        <v>105000</v>
      </c>
    </row>
    <row r="20" spans="1:16" ht="23.25" customHeight="1" x14ac:dyDescent="0.2">
      <c r="A20" s="14"/>
      <c r="B20" s="14" t="s">
        <v>175</v>
      </c>
      <c r="C20" s="95" t="s">
        <v>176</v>
      </c>
      <c r="D20" s="96" t="s">
        <v>83</v>
      </c>
      <c r="E20" s="97">
        <v>44474</v>
      </c>
      <c r="F20" s="98" t="s">
        <v>119</v>
      </c>
      <c r="G20" s="97">
        <v>44474.625</v>
      </c>
      <c r="H20" s="99" t="s">
        <v>120</v>
      </c>
      <c r="I20" s="100">
        <v>40</v>
      </c>
      <c r="J20" s="100">
        <v>40</v>
      </c>
      <c r="K20" s="100">
        <v>38</v>
      </c>
      <c r="L20" s="100">
        <v>21</v>
      </c>
      <c r="M20" s="101">
        <v>15.2</v>
      </c>
      <c r="N20" s="107">
        <v>21</v>
      </c>
      <c r="O20" s="64">
        <v>7000</v>
      </c>
      <c r="P20" s="65">
        <f>Table224578910112345678[[#This Row],[PEMBULATAN]]*O20</f>
        <v>147000</v>
      </c>
    </row>
    <row r="21" spans="1:16" ht="23.25" customHeight="1" x14ac:dyDescent="0.2">
      <c r="A21" s="14"/>
      <c r="B21" s="110"/>
      <c r="C21" s="95" t="s">
        <v>177</v>
      </c>
      <c r="D21" s="96" t="s">
        <v>83</v>
      </c>
      <c r="E21" s="97">
        <v>44474</v>
      </c>
      <c r="F21" s="98" t="s">
        <v>119</v>
      </c>
      <c r="G21" s="97">
        <v>44474.625</v>
      </c>
      <c r="H21" s="99" t="s">
        <v>120</v>
      </c>
      <c r="I21" s="100">
        <v>40</v>
      </c>
      <c r="J21" s="100">
        <v>40</v>
      </c>
      <c r="K21" s="100">
        <v>38</v>
      </c>
      <c r="L21" s="100">
        <v>21</v>
      </c>
      <c r="M21" s="101">
        <v>15.2</v>
      </c>
      <c r="N21" s="107">
        <v>21</v>
      </c>
      <c r="O21" s="64">
        <v>7000</v>
      </c>
      <c r="P21" s="65">
        <f>Table224578910112345678[[#This Row],[PEMBULATAN]]*O21</f>
        <v>147000</v>
      </c>
    </row>
    <row r="22" spans="1:16" ht="23.25" customHeight="1" x14ac:dyDescent="0.2">
      <c r="A22" s="14"/>
      <c r="B22" s="14" t="s">
        <v>178</v>
      </c>
      <c r="C22" s="95" t="s">
        <v>179</v>
      </c>
      <c r="D22" s="96" t="s">
        <v>83</v>
      </c>
      <c r="E22" s="97">
        <v>44474</v>
      </c>
      <c r="F22" s="98" t="s">
        <v>119</v>
      </c>
      <c r="G22" s="97">
        <v>44474.625</v>
      </c>
      <c r="H22" s="99" t="s">
        <v>120</v>
      </c>
      <c r="I22" s="100">
        <v>50</v>
      </c>
      <c r="J22" s="100">
        <v>44</v>
      </c>
      <c r="K22" s="100">
        <v>26</v>
      </c>
      <c r="L22" s="100">
        <v>62</v>
      </c>
      <c r="M22" s="101">
        <v>14.3</v>
      </c>
      <c r="N22" s="107">
        <v>62</v>
      </c>
      <c r="O22" s="64">
        <v>7000</v>
      </c>
      <c r="P22" s="65">
        <f>Table224578910112345678[[#This Row],[PEMBULATAN]]*O22</f>
        <v>434000</v>
      </c>
    </row>
    <row r="23" spans="1:16" ht="23.25" customHeight="1" x14ac:dyDescent="0.2">
      <c r="A23" s="14"/>
      <c r="B23" s="110"/>
      <c r="C23" s="95" t="s">
        <v>180</v>
      </c>
      <c r="D23" s="96" t="s">
        <v>83</v>
      </c>
      <c r="E23" s="97">
        <v>44474</v>
      </c>
      <c r="F23" s="98" t="s">
        <v>119</v>
      </c>
      <c r="G23" s="97">
        <v>44474.625</v>
      </c>
      <c r="H23" s="99" t="s">
        <v>120</v>
      </c>
      <c r="I23" s="100">
        <v>54</v>
      </c>
      <c r="J23" s="100">
        <v>48</v>
      </c>
      <c r="K23" s="100">
        <v>15</v>
      </c>
      <c r="L23" s="100">
        <v>7</v>
      </c>
      <c r="M23" s="101">
        <v>9.7200000000000006</v>
      </c>
      <c r="N23" s="107">
        <v>9.7200000000000006</v>
      </c>
      <c r="O23" s="64">
        <v>7000</v>
      </c>
      <c r="P23" s="65">
        <f>Table224578910112345678[[#This Row],[PEMBULATAN]]*O23</f>
        <v>68040</v>
      </c>
    </row>
    <row r="24" spans="1:16" ht="23.25" customHeight="1" x14ac:dyDescent="0.2">
      <c r="A24" s="14"/>
      <c r="B24" s="14" t="s">
        <v>181</v>
      </c>
      <c r="C24" s="95" t="s">
        <v>182</v>
      </c>
      <c r="D24" s="96" t="s">
        <v>83</v>
      </c>
      <c r="E24" s="97">
        <v>44474</v>
      </c>
      <c r="F24" s="98" t="s">
        <v>119</v>
      </c>
      <c r="G24" s="97">
        <v>44474.625</v>
      </c>
      <c r="H24" s="99" t="s">
        <v>120</v>
      </c>
      <c r="I24" s="100">
        <v>67</v>
      </c>
      <c r="J24" s="100">
        <v>32</v>
      </c>
      <c r="K24" s="100">
        <v>36</v>
      </c>
      <c r="L24" s="100">
        <v>24</v>
      </c>
      <c r="M24" s="101">
        <v>19.295999999999999</v>
      </c>
      <c r="N24" s="107">
        <v>24</v>
      </c>
      <c r="O24" s="64">
        <v>7000</v>
      </c>
      <c r="P24" s="65">
        <f>Table224578910112345678[[#This Row],[PEMBULATAN]]*O24</f>
        <v>168000</v>
      </c>
    </row>
    <row r="25" spans="1:16" ht="23.25" customHeight="1" x14ac:dyDescent="0.2">
      <c r="A25" s="14"/>
      <c r="B25" s="14"/>
      <c r="C25" s="95" t="s">
        <v>183</v>
      </c>
      <c r="D25" s="96" t="s">
        <v>83</v>
      </c>
      <c r="E25" s="97">
        <v>44474</v>
      </c>
      <c r="F25" s="98" t="s">
        <v>119</v>
      </c>
      <c r="G25" s="97">
        <v>44474.625</v>
      </c>
      <c r="H25" s="99" t="s">
        <v>120</v>
      </c>
      <c r="I25" s="100">
        <v>30</v>
      </c>
      <c r="J25" s="100">
        <v>20</v>
      </c>
      <c r="K25" s="100">
        <v>20</v>
      </c>
      <c r="L25" s="100">
        <v>11</v>
      </c>
      <c r="M25" s="101">
        <v>3</v>
      </c>
      <c r="N25" s="107">
        <v>11</v>
      </c>
      <c r="O25" s="64">
        <v>7000</v>
      </c>
      <c r="P25" s="65">
        <f>Table224578910112345678[[#This Row],[PEMBULATAN]]*O25</f>
        <v>77000</v>
      </c>
    </row>
    <row r="26" spans="1:16" ht="22.5" customHeight="1" x14ac:dyDescent="0.2">
      <c r="A26" s="143" t="s">
        <v>30</v>
      </c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5"/>
      <c r="M26" s="78">
        <f>SUBTOTAL(109,Table224578910112345678[KG VOLUME])</f>
        <v>432.66124999999994</v>
      </c>
      <c r="N26" s="68">
        <f>SUM(N3:N25)</f>
        <v>547.59974999999997</v>
      </c>
      <c r="O26" s="146">
        <f>SUM(P3:P25)</f>
        <v>3833198.25</v>
      </c>
      <c r="P26" s="147"/>
    </row>
    <row r="27" spans="1:16" ht="18" customHeight="1" x14ac:dyDescent="0.2">
      <c r="A27" s="85"/>
      <c r="B27" s="56" t="s">
        <v>42</v>
      </c>
      <c r="C27" s="55"/>
      <c r="D27" s="57" t="s">
        <v>43</v>
      </c>
      <c r="E27" s="85"/>
      <c r="F27" s="85"/>
      <c r="G27" s="85"/>
      <c r="H27" s="85"/>
      <c r="I27" s="85"/>
      <c r="J27" s="85"/>
      <c r="K27" s="85"/>
      <c r="L27" s="85"/>
      <c r="M27" s="86"/>
      <c r="N27" s="87" t="s">
        <v>52</v>
      </c>
      <c r="O27" s="88"/>
      <c r="P27" s="88">
        <v>0</v>
      </c>
    </row>
    <row r="28" spans="1:16" ht="18" customHeight="1" thickBot="1" x14ac:dyDescent="0.25">
      <c r="A28" s="85"/>
      <c r="B28" s="56"/>
      <c r="C28" s="55"/>
      <c r="D28" s="57"/>
      <c r="E28" s="85"/>
      <c r="F28" s="85"/>
      <c r="G28" s="85"/>
      <c r="H28" s="85"/>
      <c r="I28" s="85"/>
      <c r="J28" s="85"/>
      <c r="K28" s="85"/>
      <c r="L28" s="85"/>
      <c r="M28" s="86"/>
      <c r="N28" s="89" t="s">
        <v>53</v>
      </c>
      <c r="O28" s="90"/>
      <c r="P28" s="90">
        <f>O26-P27</f>
        <v>3833198.25</v>
      </c>
    </row>
    <row r="29" spans="1:16" ht="18" customHeight="1" x14ac:dyDescent="0.2">
      <c r="A29" s="11"/>
      <c r="H29" s="63"/>
      <c r="N29" s="62" t="s">
        <v>31</v>
      </c>
      <c r="P29" s="69">
        <f>P28*1%</f>
        <v>38331.982499999998</v>
      </c>
    </row>
    <row r="30" spans="1:16" ht="18" customHeight="1" thickBot="1" x14ac:dyDescent="0.25">
      <c r="A30" s="11"/>
      <c r="H30" s="63"/>
      <c r="N30" s="62" t="s">
        <v>54</v>
      </c>
      <c r="P30" s="71">
        <f>P28*2%</f>
        <v>76663.964999999997</v>
      </c>
    </row>
    <row r="31" spans="1:16" ht="18" customHeight="1" x14ac:dyDescent="0.2">
      <c r="A31" s="11"/>
      <c r="H31" s="63"/>
      <c r="N31" s="66" t="s">
        <v>32</v>
      </c>
      <c r="O31" s="67"/>
      <c r="P31" s="70">
        <f>P28+P29-P30</f>
        <v>3794866.2675000001</v>
      </c>
    </row>
    <row r="33" spans="1:16" x14ac:dyDescent="0.2">
      <c r="A33" s="11"/>
      <c r="H33" s="63"/>
      <c r="P33" s="71"/>
    </row>
    <row r="34" spans="1:16" x14ac:dyDescent="0.2">
      <c r="A34" s="11"/>
      <c r="H34" s="63"/>
      <c r="O34" s="58"/>
      <c r="P34" s="71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  <row r="46" spans="1:16" s="3" customFormat="1" x14ac:dyDescent="0.25">
      <c r="A46" s="11"/>
      <c r="B46" s="2"/>
      <c r="C46" s="2"/>
      <c r="E46" s="12"/>
      <c r="H46" s="63"/>
      <c r="N46" s="15"/>
      <c r="O46" s="15"/>
      <c r="P46" s="15"/>
    </row>
  </sheetData>
  <mergeCells count="2">
    <mergeCell ref="A26:L26"/>
    <mergeCell ref="O26:P26"/>
  </mergeCells>
  <conditionalFormatting sqref="B3">
    <cfRule type="duplicateValues" dxfId="823" priority="2"/>
  </conditionalFormatting>
  <conditionalFormatting sqref="B4">
    <cfRule type="duplicateValues" dxfId="822" priority="1"/>
  </conditionalFormatting>
  <conditionalFormatting sqref="B5:B25">
    <cfRule type="duplicateValues" dxfId="821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2"/>
  <sheetViews>
    <sheetView zoomScale="110" zoomScaleNormal="110" workbookViewId="0">
      <pane xSplit="3" ySplit="2" topLeftCell="D33" activePane="bottomRight" state="frozen"/>
      <selection pane="topRight" activeCell="B1" sqref="B1"/>
      <selection pane="bottomLeft" activeCell="A3" sqref="A3"/>
      <selection pane="bottomRight" activeCell="H53" sqref="H5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2">
        <v>402171</v>
      </c>
      <c r="B3" s="73" t="s">
        <v>184</v>
      </c>
      <c r="C3" s="9" t="s">
        <v>185</v>
      </c>
      <c r="D3" s="75" t="s">
        <v>83</v>
      </c>
      <c r="E3" s="13">
        <v>44475</v>
      </c>
      <c r="F3" s="75" t="s">
        <v>84</v>
      </c>
      <c r="G3" s="13">
        <v>44476.791666666664</v>
      </c>
      <c r="H3" s="10" t="s">
        <v>186</v>
      </c>
      <c r="I3" s="1">
        <v>70</v>
      </c>
      <c r="J3" s="1">
        <v>52</v>
      </c>
      <c r="K3" s="1">
        <v>26</v>
      </c>
      <c r="L3" s="1">
        <v>3</v>
      </c>
      <c r="M3" s="79">
        <v>23.66</v>
      </c>
      <c r="N3" s="103">
        <v>23.66</v>
      </c>
      <c r="O3" s="64">
        <v>7000</v>
      </c>
      <c r="P3" s="65">
        <f>Table2245789101123456789[[#This Row],[PEMBULATAN]]*O3</f>
        <v>165620</v>
      </c>
    </row>
    <row r="4" spans="1:16" ht="26.25" customHeight="1" x14ac:dyDescent="0.2">
      <c r="A4" s="14"/>
      <c r="B4" s="74"/>
      <c r="C4" s="9" t="s">
        <v>187</v>
      </c>
      <c r="D4" s="75" t="s">
        <v>83</v>
      </c>
      <c r="E4" s="13">
        <v>44475</v>
      </c>
      <c r="F4" s="75" t="s">
        <v>84</v>
      </c>
      <c r="G4" s="13">
        <v>44476.791666666664</v>
      </c>
      <c r="H4" s="10" t="s">
        <v>186</v>
      </c>
      <c r="I4" s="1">
        <v>62</v>
      </c>
      <c r="J4" s="1">
        <v>25</v>
      </c>
      <c r="K4" s="1">
        <v>22</v>
      </c>
      <c r="L4" s="1">
        <v>13</v>
      </c>
      <c r="M4" s="79">
        <v>8.5250000000000004</v>
      </c>
      <c r="N4" s="103">
        <v>13</v>
      </c>
      <c r="O4" s="64">
        <v>7000</v>
      </c>
      <c r="P4" s="65">
        <f>Table2245789101123456789[[#This Row],[PEMBULATAN]]*O4</f>
        <v>91000</v>
      </c>
    </row>
    <row r="5" spans="1:16" ht="26.25" customHeight="1" x14ac:dyDescent="0.2">
      <c r="A5" s="14"/>
      <c r="B5" s="14"/>
      <c r="C5" s="9" t="s">
        <v>188</v>
      </c>
      <c r="D5" s="75" t="s">
        <v>83</v>
      </c>
      <c r="E5" s="13">
        <v>44475</v>
      </c>
      <c r="F5" s="75" t="s">
        <v>84</v>
      </c>
      <c r="G5" s="13">
        <v>44476.791666666664</v>
      </c>
      <c r="H5" s="10" t="s">
        <v>186</v>
      </c>
      <c r="I5" s="1">
        <v>36</v>
      </c>
      <c r="J5" s="1">
        <v>30</v>
      </c>
      <c r="K5" s="1">
        <v>32</v>
      </c>
      <c r="L5" s="1">
        <v>36</v>
      </c>
      <c r="M5" s="79">
        <v>8.64</v>
      </c>
      <c r="N5" s="103">
        <v>36</v>
      </c>
      <c r="O5" s="64">
        <v>7000</v>
      </c>
      <c r="P5" s="65">
        <f>Table2245789101123456789[[#This Row],[PEMBULATAN]]*O5</f>
        <v>252000</v>
      </c>
    </row>
    <row r="6" spans="1:16" ht="26.25" customHeight="1" x14ac:dyDescent="0.2">
      <c r="A6" s="14"/>
      <c r="B6" s="14"/>
      <c r="C6" s="95" t="s">
        <v>189</v>
      </c>
      <c r="D6" s="96" t="s">
        <v>83</v>
      </c>
      <c r="E6" s="97">
        <v>44475</v>
      </c>
      <c r="F6" s="98" t="s">
        <v>84</v>
      </c>
      <c r="G6" s="97">
        <v>44476.791666666664</v>
      </c>
      <c r="H6" s="99" t="s">
        <v>186</v>
      </c>
      <c r="I6" s="100">
        <v>63</v>
      </c>
      <c r="J6" s="100">
        <v>45</v>
      </c>
      <c r="K6" s="100">
        <v>31</v>
      </c>
      <c r="L6" s="100">
        <v>22</v>
      </c>
      <c r="M6" s="101">
        <v>21.971250000000001</v>
      </c>
      <c r="N6" s="107">
        <v>22</v>
      </c>
      <c r="O6" s="64">
        <v>7000</v>
      </c>
      <c r="P6" s="65">
        <f>Table2245789101123456789[[#This Row],[PEMBULATAN]]*O6</f>
        <v>154000</v>
      </c>
    </row>
    <row r="7" spans="1:16" ht="26.25" customHeight="1" x14ac:dyDescent="0.2">
      <c r="A7" s="14"/>
      <c r="B7" s="14"/>
      <c r="C7" s="95" t="s">
        <v>190</v>
      </c>
      <c r="D7" s="96" t="s">
        <v>83</v>
      </c>
      <c r="E7" s="97">
        <v>44475</v>
      </c>
      <c r="F7" s="98" t="s">
        <v>84</v>
      </c>
      <c r="G7" s="97">
        <v>44476.791666666664</v>
      </c>
      <c r="H7" s="99" t="s">
        <v>186</v>
      </c>
      <c r="I7" s="100">
        <v>66</v>
      </c>
      <c r="J7" s="100">
        <v>42</v>
      </c>
      <c r="K7" s="100">
        <v>22</v>
      </c>
      <c r="L7" s="100">
        <v>19</v>
      </c>
      <c r="M7" s="101">
        <v>15.246</v>
      </c>
      <c r="N7" s="107">
        <v>19</v>
      </c>
      <c r="O7" s="64">
        <v>7000</v>
      </c>
      <c r="P7" s="65">
        <f>Table2245789101123456789[[#This Row],[PEMBULATAN]]*O7</f>
        <v>133000</v>
      </c>
    </row>
    <row r="8" spans="1:16" ht="26.25" customHeight="1" x14ac:dyDescent="0.2">
      <c r="A8" s="14"/>
      <c r="B8" s="14"/>
      <c r="C8" s="95" t="s">
        <v>191</v>
      </c>
      <c r="D8" s="96" t="s">
        <v>83</v>
      </c>
      <c r="E8" s="97">
        <v>44475</v>
      </c>
      <c r="F8" s="98" t="s">
        <v>84</v>
      </c>
      <c r="G8" s="97">
        <v>44476.791666666664</v>
      </c>
      <c r="H8" s="99" t="s">
        <v>186</v>
      </c>
      <c r="I8" s="100">
        <v>35</v>
      </c>
      <c r="J8" s="100">
        <v>30</v>
      </c>
      <c r="K8" s="100">
        <v>27</v>
      </c>
      <c r="L8" s="100">
        <v>8</v>
      </c>
      <c r="M8" s="101">
        <v>7.0875000000000004</v>
      </c>
      <c r="N8" s="107">
        <v>8</v>
      </c>
      <c r="O8" s="64">
        <v>7000</v>
      </c>
      <c r="P8" s="65">
        <f>Table2245789101123456789[[#This Row],[PEMBULATAN]]*O8</f>
        <v>56000</v>
      </c>
    </row>
    <row r="9" spans="1:16" ht="26.25" customHeight="1" x14ac:dyDescent="0.2">
      <c r="A9" s="14"/>
      <c r="B9" s="14"/>
      <c r="C9" s="95" t="s">
        <v>192</v>
      </c>
      <c r="D9" s="96" t="s">
        <v>83</v>
      </c>
      <c r="E9" s="97">
        <v>44475</v>
      </c>
      <c r="F9" s="98" t="s">
        <v>84</v>
      </c>
      <c r="G9" s="97">
        <v>44476.791666666664</v>
      </c>
      <c r="H9" s="99" t="s">
        <v>186</v>
      </c>
      <c r="I9" s="100">
        <v>72</v>
      </c>
      <c r="J9" s="100">
        <v>47</v>
      </c>
      <c r="K9" s="100">
        <v>35</v>
      </c>
      <c r="L9" s="100">
        <v>20</v>
      </c>
      <c r="M9" s="101">
        <v>29.61</v>
      </c>
      <c r="N9" s="107">
        <v>29.61</v>
      </c>
      <c r="O9" s="64">
        <v>7000</v>
      </c>
      <c r="P9" s="65">
        <f>Table2245789101123456789[[#This Row],[PEMBULATAN]]*O9</f>
        <v>207270</v>
      </c>
    </row>
    <row r="10" spans="1:16" ht="26.25" customHeight="1" x14ac:dyDescent="0.2">
      <c r="A10" s="14"/>
      <c r="B10" s="14"/>
      <c r="C10" s="95" t="s">
        <v>193</v>
      </c>
      <c r="D10" s="96" t="s">
        <v>83</v>
      </c>
      <c r="E10" s="97">
        <v>44475</v>
      </c>
      <c r="F10" s="98" t="s">
        <v>84</v>
      </c>
      <c r="G10" s="97">
        <v>44476.791666666664</v>
      </c>
      <c r="H10" s="99" t="s">
        <v>186</v>
      </c>
      <c r="I10" s="100">
        <v>61</v>
      </c>
      <c r="J10" s="100">
        <v>50</v>
      </c>
      <c r="K10" s="100">
        <v>40</v>
      </c>
      <c r="L10" s="100">
        <v>13</v>
      </c>
      <c r="M10" s="101">
        <v>30.5</v>
      </c>
      <c r="N10" s="107">
        <v>30.5</v>
      </c>
      <c r="O10" s="64">
        <v>7000</v>
      </c>
      <c r="P10" s="65">
        <f>Table2245789101123456789[[#This Row],[PEMBULATAN]]*O10</f>
        <v>213500</v>
      </c>
    </row>
    <row r="11" spans="1:16" ht="26.25" customHeight="1" x14ac:dyDescent="0.2">
      <c r="A11" s="14"/>
      <c r="B11" s="14"/>
      <c r="C11" s="95" t="s">
        <v>194</v>
      </c>
      <c r="D11" s="96" t="s">
        <v>83</v>
      </c>
      <c r="E11" s="97">
        <v>44475</v>
      </c>
      <c r="F11" s="98" t="s">
        <v>84</v>
      </c>
      <c r="G11" s="97">
        <v>44476.791666666664</v>
      </c>
      <c r="H11" s="99" t="s">
        <v>186</v>
      </c>
      <c r="I11" s="100">
        <v>60</v>
      </c>
      <c r="J11" s="100">
        <v>41</v>
      </c>
      <c r="K11" s="100">
        <v>32</v>
      </c>
      <c r="L11" s="100">
        <v>12</v>
      </c>
      <c r="M11" s="101">
        <v>19.68</v>
      </c>
      <c r="N11" s="107">
        <v>19.68</v>
      </c>
      <c r="O11" s="64">
        <v>7000</v>
      </c>
      <c r="P11" s="65">
        <f>Table2245789101123456789[[#This Row],[PEMBULATAN]]*O11</f>
        <v>137760</v>
      </c>
    </row>
    <row r="12" spans="1:16" ht="26.25" customHeight="1" x14ac:dyDescent="0.2">
      <c r="A12" s="14"/>
      <c r="B12" s="14"/>
      <c r="C12" s="95" t="s">
        <v>195</v>
      </c>
      <c r="D12" s="96" t="s">
        <v>83</v>
      </c>
      <c r="E12" s="97">
        <v>44475</v>
      </c>
      <c r="F12" s="98" t="s">
        <v>84</v>
      </c>
      <c r="G12" s="97">
        <v>44476.791666666664</v>
      </c>
      <c r="H12" s="99" t="s">
        <v>186</v>
      </c>
      <c r="I12" s="100">
        <v>44</v>
      </c>
      <c r="J12" s="100">
        <v>35</v>
      </c>
      <c r="K12" s="100">
        <v>39</v>
      </c>
      <c r="L12" s="100">
        <v>12</v>
      </c>
      <c r="M12" s="101">
        <v>15.015000000000001</v>
      </c>
      <c r="N12" s="107">
        <v>15.015000000000001</v>
      </c>
      <c r="O12" s="64">
        <v>7000</v>
      </c>
      <c r="P12" s="65">
        <f>Table2245789101123456789[[#This Row],[PEMBULATAN]]*O12</f>
        <v>105105</v>
      </c>
    </row>
    <row r="13" spans="1:16" ht="26.25" customHeight="1" x14ac:dyDescent="0.2">
      <c r="A13" s="14"/>
      <c r="B13" s="14"/>
      <c r="C13" s="95" t="s">
        <v>196</v>
      </c>
      <c r="D13" s="96" t="s">
        <v>83</v>
      </c>
      <c r="E13" s="97">
        <v>44475</v>
      </c>
      <c r="F13" s="98" t="s">
        <v>84</v>
      </c>
      <c r="G13" s="97">
        <v>44476.791666666664</v>
      </c>
      <c r="H13" s="99" t="s">
        <v>186</v>
      </c>
      <c r="I13" s="100">
        <v>45</v>
      </c>
      <c r="J13" s="100">
        <v>31</v>
      </c>
      <c r="K13" s="100">
        <v>30</v>
      </c>
      <c r="L13" s="100">
        <v>15</v>
      </c>
      <c r="M13" s="101">
        <v>10.4625</v>
      </c>
      <c r="N13" s="107">
        <v>15</v>
      </c>
      <c r="O13" s="64">
        <v>7000</v>
      </c>
      <c r="P13" s="65">
        <f>Table2245789101123456789[[#This Row],[PEMBULATAN]]*O13</f>
        <v>105000</v>
      </c>
    </row>
    <row r="14" spans="1:16" ht="26.25" customHeight="1" x14ac:dyDescent="0.2">
      <c r="A14" s="14"/>
      <c r="B14" s="14"/>
      <c r="C14" s="95" t="s">
        <v>197</v>
      </c>
      <c r="D14" s="96" t="s">
        <v>83</v>
      </c>
      <c r="E14" s="97">
        <v>44475</v>
      </c>
      <c r="F14" s="98" t="s">
        <v>84</v>
      </c>
      <c r="G14" s="97">
        <v>44476.791666666664</v>
      </c>
      <c r="H14" s="99" t="s">
        <v>186</v>
      </c>
      <c r="I14" s="100">
        <v>58</v>
      </c>
      <c r="J14" s="100">
        <v>26</v>
      </c>
      <c r="K14" s="100">
        <v>29</v>
      </c>
      <c r="L14" s="100">
        <v>18</v>
      </c>
      <c r="M14" s="101">
        <v>10.933</v>
      </c>
      <c r="N14" s="107">
        <v>18</v>
      </c>
      <c r="O14" s="64">
        <v>7000</v>
      </c>
      <c r="P14" s="65">
        <f>Table2245789101123456789[[#This Row],[PEMBULATAN]]*O14</f>
        <v>126000</v>
      </c>
    </row>
    <row r="15" spans="1:16" ht="26.25" customHeight="1" x14ac:dyDescent="0.2">
      <c r="A15" s="14"/>
      <c r="B15" s="14"/>
      <c r="C15" s="95" t="s">
        <v>198</v>
      </c>
      <c r="D15" s="96" t="s">
        <v>83</v>
      </c>
      <c r="E15" s="97">
        <v>44475</v>
      </c>
      <c r="F15" s="98" t="s">
        <v>84</v>
      </c>
      <c r="G15" s="97">
        <v>44476.791666666664</v>
      </c>
      <c r="H15" s="99" t="s">
        <v>186</v>
      </c>
      <c r="I15" s="100">
        <v>34</v>
      </c>
      <c r="J15" s="100">
        <v>22</v>
      </c>
      <c r="K15" s="100">
        <v>28</v>
      </c>
      <c r="L15" s="100">
        <v>23</v>
      </c>
      <c r="M15" s="101">
        <v>5.2359999999999998</v>
      </c>
      <c r="N15" s="107">
        <v>23</v>
      </c>
      <c r="O15" s="64">
        <v>7000</v>
      </c>
      <c r="P15" s="65">
        <f>Table2245789101123456789[[#This Row],[PEMBULATAN]]*O15</f>
        <v>161000</v>
      </c>
    </row>
    <row r="16" spans="1:16" ht="26.25" customHeight="1" x14ac:dyDescent="0.2">
      <c r="A16" s="14"/>
      <c r="B16" s="14"/>
      <c r="C16" s="95" t="s">
        <v>199</v>
      </c>
      <c r="D16" s="96" t="s">
        <v>83</v>
      </c>
      <c r="E16" s="97">
        <v>44475</v>
      </c>
      <c r="F16" s="98" t="s">
        <v>84</v>
      </c>
      <c r="G16" s="97">
        <v>44476.791666666664</v>
      </c>
      <c r="H16" s="99" t="s">
        <v>186</v>
      </c>
      <c r="I16" s="100">
        <v>62</v>
      </c>
      <c r="J16" s="100">
        <v>32</v>
      </c>
      <c r="K16" s="100">
        <v>28</v>
      </c>
      <c r="L16" s="100">
        <v>21</v>
      </c>
      <c r="M16" s="101">
        <v>13.888</v>
      </c>
      <c r="N16" s="107">
        <v>21</v>
      </c>
      <c r="O16" s="64">
        <v>7000</v>
      </c>
      <c r="P16" s="65">
        <f>Table2245789101123456789[[#This Row],[PEMBULATAN]]*O16</f>
        <v>147000</v>
      </c>
    </row>
    <row r="17" spans="1:16" ht="26.25" customHeight="1" x14ac:dyDescent="0.2">
      <c r="A17" s="14"/>
      <c r="B17" s="14"/>
      <c r="C17" s="95" t="s">
        <v>200</v>
      </c>
      <c r="D17" s="96" t="s">
        <v>83</v>
      </c>
      <c r="E17" s="97">
        <v>44475</v>
      </c>
      <c r="F17" s="98" t="s">
        <v>84</v>
      </c>
      <c r="G17" s="97">
        <v>44476.791666666664</v>
      </c>
      <c r="H17" s="99" t="s">
        <v>186</v>
      </c>
      <c r="I17" s="100">
        <v>40</v>
      </c>
      <c r="J17" s="100">
        <v>30</v>
      </c>
      <c r="K17" s="100">
        <v>27</v>
      </c>
      <c r="L17" s="100">
        <v>9</v>
      </c>
      <c r="M17" s="101">
        <v>8.1</v>
      </c>
      <c r="N17" s="107">
        <v>9</v>
      </c>
      <c r="O17" s="64">
        <v>7000</v>
      </c>
      <c r="P17" s="65">
        <f>Table2245789101123456789[[#This Row],[PEMBULATAN]]*O17</f>
        <v>63000</v>
      </c>
    </row>
    <row r="18" spans="1:16" ht="26.25" customHeight="1" x14ac:dyDescent="0.2">
      <c r="A18" s="14"/>
      <c r="B18" s="14"/>
      <c r="C18" s="95" t="s">
        <v>201</v>
      </c>
      <c r="D18" s="96" t="s">
        <v>83</v>
      </c>
      <c r="E18" s="97">
        <v>44475</v>
      </c>
      <c r="F18" s="98" t="s">
        <v>84</v>
      </c>
      <c r="G18" s="97">
        <v>44476.791666666664</v>
      </c>
      <c r="H18" s="99" t="s">
        <v>186</v>
      </c>
      <c r="I18" s="100">
        <v>47</v>
      </c>
      <c r="J18" s="100">
        <v>47</v>
      </c>
      <c r="K18" s="100">
        <v>30</v>
      </c>
      <c r="L18" s="100">
        <v>11</v>
      </c>
      <c r="M18" s="101">
        <v>16.567499999999999</v>
      </c>
      <c r="N18" s="107">
        <v>16.567499999999999</v>
      </c>
      <c r="O18" s="64">
        <v>7000</v>
      </c>
      <c r="P18" s="65">
        <f>Table2245789101123456789[[#This Row],[PEMBULATAN]]*O18</f>
        <v>115972.5</v>
      </c>
    </row>
    <row r="19" spans="1:16" ht="26.25" customHeight="1" x14ac:dyDescent="0.2">
      <c r="A19" s="14"/>
      <c r="B19" s="14"/>
      <c r="C19" s="95" t="s">
        <v>202</v>
      </c>
      <c r="D19" s="96" t="s">
        <v>83</v>
      </c>
      <c r="E19" s="97">
        <v>44475</v>
      </c>
      <c r="F19" s="98" t="s">
        <v>84</v>
      </c>
      <c r="G19" s="97">
        <v>44476.791666666664</v>
      </c>
      <c r="H19" s="99" t="s">
        <v>186</v>
      </c>
      <c r="I19" s="100">
        <v>70</v>
      </c>
      <c r="J19" s="100">
        <v>55</v>
      </c>
      <c r="K19" s="100">
        <v>40</v>
      </c>
      <c r="L19" s="100">
        <v>17</v>
      </c>
      <c r="M19" s="101">
        <v>38.5</v>
      </c>
      <c r="N19" s="107">
        <v>38.5</v>
      </c>
      <c r="O19" s="64">
        <v>7000</v>
      </c>
      <c r="P19" s="65">
        <f>Table2245789101123456789[[#This Row],[PEMBULATAN]]*O19</f>
        <v>269500</v>
      </c>
    </row>
    <row r="20" spans="1:16" ht="26.25" customHeight="1" x14ac:dyDescent="0.2">
      <c r="A20" s="14"/>
      <c r="B20" s="14"/>
      <c r="C20" s="95" t="s">
        <v>203</v>
      </c>
      <c r="D20" s="96" t="s">
        <v>83</v>
      </c>
      <c r="E20" s="97">
        <v>44475</v>
      </c>
      <c r="F20" s="98" t="s">
        <v>84</v>
      </c>
      <c r="G20" s="97">
        <v>44476.791666666664</v>
      </c>
      <c r="H20" s="99" t="s">
        <v>186</v>
      </c>
      <c r="I20" s="100">
        <v>62</v>
      </c>
      <c r="J20" s="100">
        <v>40</v>
      </c>
      <c r="K20" s="100">
        <v>27</v>
      </c>
      <c r="L20" s="100">
        <v>10</v>
      </c>
      <c r="M20" s="101">
        <v>16.739999999999998</v>
      </c>
      <c r="N20" s="107">
        <v>16.739999999999998</v>
      </c>
      <c r="O20" s="64">
        <v>7000</v>
      </c>
      <c r="P20" s="65">
        <f>Table2245789101123456789[[#This Row],[PEMBULATAN]]*O20</f>
        <v>117179.99999999999</v>
      </c>
    </row>
    <row r="21" spans="1:16" ht="26.25" customHeight="1" x14ac:dyDescent="0.2">
      <c r="A21" s="14"/>
      <c r="B21" s="14"/>
      <c r="C21" s="95" t="s">
        <v>204</v>
      </c>
      <c r="D21" s="96" t="s">
        <v>83</v>
      </c>
      <c r="E21" s="97">
        <v>44475</v>
      </c>
      <c r="F21" s="98" t="s">
        <v>84</v>
      </c>
      <c r="G21" s="97">
        <v>44476.791666666664</v>
      </c>
      <c r="H21" s="99" t="s">
        <v>186</v>
      </c>
      <c r="I21" s="100">
        <v>62</v>
      </c>
      <c r="J21" s="100">
        <v>40</v>
      </c>
      <c r="K21" s="100">
        <v>27</v>
      </c>
      <c r="L21" s="100">
        <v>10</v>
      </c>
      <c r="M21" s="101">
        <v>16.739999999999998</v>
      </c>
      <c r="N21" s="107">
        <v>16.739999999999998</v>
      </c>
      <c r="O21" s="64">
        <v>7000</v>
      </c>
      <c r="P21" s="65">
        <f>Table2245789101123456789[[#This Row],[PEMBULATAN]]*O21</f>
        <v>117179.99999999999</v>
      </c>
    </row>
    <row r="22" spans="1:16" ht="26.25" customHeight="1" x14ac:dyDescent="0.2">
      <c r="A22" s="14"/>
      <c r="B22" s="14"/>
      <c r="C22" s="95" t="s">
        <v>205</v>
      </c>
      <c r="D22" s="96" t="s">
        <v>83</v>
      </c>
      <c r="E22" s="97">
        <v>44475</v>
      </c>
      <c r="F22" s="98" t="s">
        <v>84</v>
      </c>
      <c r="G22" s="97">
        <v>44476.791666666664</v>
      </c>
      <c r="H22" s="99" t="s">
        <v>186</v>
      </c>
      <c r="I22" s="100">
        <v>100</v>
      </c>
      <c r="J22" s="100">
        <v>67</v>
      </c>
      <c r="K22" s="100">
        <v>25</v>
      </c>
      <c r="L22" s="100">
        <v>27</v>
      </c>
      <c r="M22" s="101">
        <v>41.875</v>
      </c>
      <c r="N22" s="107">
        <v>41.875</v>
      </c>
      <c r="O22" s="64">
        <v>7000</v>
      </c>
      <c r="P22" s="65">
        <f>Table2245789101123456789[[#This Row],[PEMBULATAN]]*O22</f>
        <v>293125</v>
      </c>
    </row>
    <row r="23" spans="1:16" ht="26.25" customHeight="1" x14ac:dyDescent="0.2">
      <c r="A23" s="14"/>
      <c r="B23" s="14"/>
      <c r="C23" s="95" t="s">
        <v>206</v>
      </c>
      <c r="D23" s="96" t="s">
        <v>83</v>
      </c>
      <c r="E23" s="97">
        <v>44475</v>
      </c>
      <c r="F23" s="98" t="s">
        <v>84</v>
      </c>
      <c r="G23" s="97">
        <v>44476.791666666664</v>
      </c>
      <c r="H23" s="99" t="s">
        <v>186</v>
      </c>
      <c r="I23" s="100">
        <v>42</v>
      </c>
      <c r="J23" s="100">
        <v>42</v>
      </c>
      <c r="K23" s="100">
        <v>35</v>
      </c>
      <c r="L23" s="100">
        <v>13</v>
      </c>
      <c r="M23" s="101">
        <v>15.435</v>
      </c>
      <c r="N23" s="107">
        <v>16</v>
      </c>
      <c r="O23" s="64">
        <v>7000</v>
      </c>
      <c r="P23" s="65">
        <f>Table2245789101123456789[[#This Row],[PEMBULATAN]]*O23</f>
        <v>112000</v>
      </c>
    </row>
    <row r="24" spans="1:16" ht="26.25" customHeight="1" x14ac:dyDescent="0.2">
      <c r="A24" s="14"/>
      <c r="B24" s="14"/>
      <c r="C24" s="95" t="s">
        <v>207</v>
      </c>
      <c r="D24" s="96" t="s">
        <v>83</v>
      </c>
      <c r="E24" s="97">
        <v>44475</v>
      </c>
      <c r="F24" s="98" t="s">
        <v>84</v>
      </c>
      <c r="G24" s="97">
        <v>44476.791666666664</v>
      </c>
      <c r="H24" s="99" t="s">
        <v>186</v>
      </c>
      <c r="I24" s="100">
        <v>43</v>
      </c>
      <c r="J24" s="100">
        <v>43</v>
      </c>
      <c r="K24" s="100">
        <v>34</v>
      </c>
      <c r="L24" s="100">
        <v>21</v>
      </c>
      <c r="M24" s="101">
        <v>15.7165</v>
      </c>
      <c r="N24" s="107">
        <v>21</v>
      </c>
      <c r="O24" s="64">
        <v>7000</v>
      </c>
      <c r="P24" s="65">
        <f>Table2245789101123456789[[#This Row],[PEMBULATAN]]*O24</f>
        <v>147000</v>
      </c>
    </row>
    <row r="25" spans="1:16" ht="26.25" customHeight="1" x14ac:dyDescent="0.2">
      <c r="A25" s="14"/>
      <c r="B25" s="14"/>
      <c r="C25" s="95" t="s">
        <v>208</v>
      </c>
      <c r="D25" s="96" t="s">
        <v>83</v>
      </c>
      <c r="E25" s="97">
        <v>44475</v>
      </c>
      <c r="F25" s="98" t="s">
        <v>84</v>
      </c>
      <c r="G25" s="97">
        <v>44476.791666666664</v>
      </c>
      <c r="H25" s="99" t="s">
        <v>186</v>
      </c>
      <c r="I25" s="100">
        <v>43</v>
      </c>
      <c r="J25" s="100">
        <v>39</v>
      </c>
      <c r="K25" s="100">
        <v>25</v>
      </c>
      <c r="L25" s="100">
        <v>11</v>
      </c>
      <c r="M25" s="101">
        <v>10.481249999999999</v>
      </c>
      <c r="N25" s="107">
        <v>11</v>
      </c>
      <c r="O25" s="64">
        <v>7000</v>
      </c>
      <c r="P25" s="65">
        <f>Table2245789101123456789[[#This Row],[PEMBULATAN]]*O25</f>
        <v>77000</v>
      </c>
    </row>
    <row r="26" spans="1:16" ht="26.25" customHeight="1" x14ac:dyDescent="0.2">
      <c r="A26" s="14"/>
      <c r="B26" s="14"/>
      <c r="C26" s="95" t="s">
        <v>209</v>
      </c>
      <c r="D26" s="96" t="s">
        <v>83</v>
      </c>
      <c r="E26" s="97">
        <v>44475</v>
      </c>
      <c r="F26" s="98" t="s">
        <v>84</v>
      </c>
      <c r="G26" s="97">
        <v>44476.791666666664</v>
      </c>
      <c r="H26" s="99" t="s">
        <v>186</v>
      </c>
      <c r="I26" s="100">
        <v>58</v>
      </c>
      <c r="J26" s="100">
        <v>35</v>
      </c>
      <c r="K26" s="100">
        <v>18</v>
      </c>
      <c r="L26" s="100">
        <v>8</v>
      </c>
      <c r="M26" s="101">
        <v>9.1349999999999998</v>
      </c>
      <c r="N26" s="107">
        <v>9.1349999999999998</v>
      </c>
      <c r="O26" s="64">
        <v>7000</v>
      </c>
      <c r="P26" s="65">
        <f>Table2245789101123456789[[#This Row],[PEMBULATAN]]*O26</f>
        <v>63945</v>
      </c>
    </row>
    <row r="27" spans="1:16" ht="26.25" customHeight="1" x14ac:dyDescent="0.2">
      <c r="A27" s="14"/>
      <c r="B27" s="14"/>
      <c r="C27" s="95" t="s">
        <v>210</v>
      </c>
      <c r="D27" s="96" t="s">
        <v>83</v>
      </c>
      <c r="E27" s="97">
        <v>44475</v>
      </c>
      <c r="F27" s="98" t="s">
        <v>84</v>
      </c>
      <c r="G27" s="97">
        <v>44476.791666666664</v>
      </c>
      <c r="H27" s="99" t="s">
        <v>186</v>
      </c>
      <c r="I27" s="100">
        <v>47</v>
      </c>
      <c r="J27" s="100">
        <v>40</v>
      </c>
      <c r="K27" s="100">
        <v>40</v>
      </c>
      <c r="L27" s="100">
        <v>10</v>
      </c>
      <c r="M27" s="101">
        <v>18.8</v>
      </c>
      <c r="N27" s="107">
        <v>18.8</v>
      </c>
      <c r="O27" s="64">
        <v>7000</v>
      </c>
      <c r="P27" s="65">
        <f>Table2245789101123456789[[#This Row],[PEMBULATAN]]*O27</f>
        <v>131600</v>
      </c>
    </row>
    <row r="28" spans="1:16" ht="26.25" customHeight="1" x14ac:dyDescent="0.2">
      <c r="A28" s="14"/>
      <c r="B28" s="14"/>
      <c r="C28" s="95" t="s">
        <v>211</v>
      </c>
      <c r="D28" s="96" t="s">
        <v>83</v>
      </c>
      <c r="E28" s="97">
        <v>44475</v>
      </c>
      <c r="F28" s="98" t="s">
        <v>84</v>
      </c>
      <c r="G28" s="97">
        <v>44476.791666666664</v>
      </c>
      <c r="H28" s="99" t="s">
        <v>186</v>
      </c>
      <c r="I28" s="100">
        <v>72</v>
      </c>
      <c r="J28" s="100">
        <v>37</v>
      </c>
      <c r="K28" s="100">
        <v>25</v>
      </c>
      <c r="L28" s="100">
        <v>9</v>
      </c>
      <c r="M28" s="101">
        <v>16.649999999999999</v>
      </c>
      <c r="N28" s="107">
        <v>16.649999999999999</v>
      </c>
      <c r="O28" s="64">
        <v>7000</v>
      </c>
      <c r="P28" s="65">
        <f>Table2245789101123456789[[#This Row],[PEMBULATAN]]*O28</f>
        <v>116549.99999999999</v>
      </c>
    </row>
    <row r="29" spans="1:16" ht="26.25" customHeight="1" x14ac:dyDescent="0.2">
      <c r="A29" s="14"/>
      <c r="B29" s="14"/>
      <c r="C29" s="95" t="s">
        <v>212</v>
      </c>
      <c r="D29" s="96" t="s">
        <v>83</v>
      </c>
      <c r="E29" s="97">
        <v>44475</v>
      </c>
      <c r="F29" s="98" t="s">
        <v>84</v>
      </c>
      <c r="G29" s="97">
        <v>44476.791666666664</v>
      </c>
      <c r="H29" s="99" t="s">
        <v>186</v>
      </c>
      <c r="I29" s="100">
        <v>45</v>
      </c>
      <c r="J29" s="100">
        <v>45</v>
      </c>
      <c r="K29" s="100">
        <v>29</v>
      </c>
      <c r="L29" s="100">
        <v>7</v>
      </c>
      <c r="M29" s="101">
        <v>14.68125</v>
      </c>
      <c r="N29" s="107">
        <v>14.68125</v>
      </c>
      <c r="O29" s="64">
        <v>7000</v>
      </c>
      <c r="P29" s="65">
        <f>Table2245789101123456789[[#This Row],[PEMBULATAN]]*O29</f>
        <v>102768.75</v>
      </c>
    </row>
    <row r="30" spans="1:16" ht="26.25" customHeight="1" x14ac:dyDescent="0.2">
      <c r="A30" s="14"/>
      <c r="B30" s="14"/>
      <c r="C30" s="95" t="s">
        <v>213</v>
      </c>
      <c r="D30" s="96" t="s">
        <v>83</v>
      </c>
      <c r="E30" s="97">
        <v>44475</v>
      </c>
      <c r="F30" s="98" t="s">
        <v>84</v>
      </c>
      <c r="G30" s="97">
        <v>44476.791666666664</v>
      </c>
      <c r="H30" s="99" t="s">
        <v>186</v>
      </c>
      <c r="I30" s="100">
        <v>52</v>
      </c>
      <c r="J30" s="100">
        <v>40</v>
      </c>
      <c r="K30" s="100">
        <v>25</v>
      </c>
      <c r="L30" s="100">
        <v>8</v>
      </c>
      <c r="M30" s="101">
        <v>13</v>
      </c>
      <c r="N30" s="107">
        <v>13</v>
      </c>
      <c r="O30" s="64">
        <v>7000</v>
      </c>
      <c r="P30" s="65">
        <f>Table2245789101123456789[[#This Row],[PEMBULATAN]]*O30</f>
        <v>91000</v>
      </c>
    </row>
    <row r="31" spans="1:16" ht="26.25" customHeight="1" x14ac:dyDescent="0.2">
      <c r="A31" s="14"/>
      <c r="B31" s="14"/>
      <c r="C31" s="95" t="s">
        <v>214</v>
      </c>
      <c r="D31" s="96" t="s">
        <v>83</v>
      </c>
      <c r="E31" s="97">
        <v>44475</v>
      </c>
      <c r="F31" s="98" t="s">
        <v>84</v>
      </c>
      <c r="G31" s="97">
        <v>44476.791666666664</v>
      </c>
      <c r="H31" s="99" t="s">
        <v>186</v>
      </c>
      <c r="I31" s="100">
        <v>57</v>
      </c>
      <c r="J31" s="100">
        <v>45</v>
      </c>
      <c r="K31" s="100">
        <v>35</v>
      </c>
      <c r="L31" s="100">
        <v>9</v>
      </c>
      <c r="M31" s="101">
        <v>22.443750000000001</v>
      </c>
      <c r="N31" s="107">
        <v>23</v>
      </c>
      <c r="O31" s="64">
        <v>7000</v>
      </c>
      <c r="P31" s="65">
        <f>Table2245789101123456789[[#This Row],[PEMBULATAN]]*O31</f>
        <v>161000</v>
      </c>
    </row>
    <row r="32" spans="1:16" ht="26.25" customHeight="1" x14ac:dyDescent="0.2">
      <c r="A32" s="14"/>
      <c r="B32" s="14"/>
      <c r="C32" s="95" t="s">
        <v>215</v>
      </c>
      <c r="D32" s="96" t="s">
        <v>83</v>
      </c>
      <c r="E32" s="97">
        <v>44475</v>
      </c>
      <c r="F32" s="98" t="s">
        <v>84</v>
      </c>
      <c r="G32" s="97">
        <v>44476.791666666664</v>
      </c>
      <c r="H32" s="99" t="s">
        <v>186</v>
      </c>
      <c r="I32" s="100">
        <v>50</v>
      </c>
      <c r="J32" s="100">
        <v>50</v>
      </c>
      <c r="K32" s="100">
        <v>25</v>
      </c>
      <c r="L32" s="100">
        <v>10</v>
      </c>
      <c r="M32" s="101">
        <v>15.625</v>
      </c>
      <c r="N32" s="107">
        <v>15.625</v>
      </c>
      <c r="O32" s="64">
        <v>7000</v>
      </c>
      <c r="P32" s="65">
        <f>Table2245789101123456789[[#This Row],[PEMBULATAN]]*O32</f>
        <v>109375</v>
      </c>
    </row>
    <row r="33" spans="1:16" ht="26.25" customHeight="1" x14ac:dyDescent="0.2">
      <c r="A33" s="14"/>
      <c r="B33" s="14"/>
      <c r="C33" s="95" t="s">
        <v>216</v>
      </c>
      <c r="D33" s="96" t="s">
        <v>83</v>
      </c>
      <c r="E33" s="97">
        <v>44475</v>
      </c>
      <c r="F33" s="98" t="s">
        <v>84</v>
      </c>
      <c r="G33" s="97">
        <v>44476.791666666664</v>
      </c>
      <c r="H33" s="99" t="s">
        <v>186</v>
      </c>
      <c r="I33" s="100">
        <v>87</v>
      </c>
      <c r="J33" s="100">
        <v>50</v>
      </c>
      <c r="K33" s="100">
        <v>9</v>
      </c>
      <c r="L33" s="100">
        <v>5</v>
      </c>
      <c r="M33" s="101">
        <v>9.7874999999999996</v>
      </c>
      <c r="N33" s="107">
        <v>9.7874999999999996</v>
      </c>
      <c r="O33" s="64">
        <v>7000</v>
      </c>
      <c r="P33" s="65">
        <f>Table2245789101123456789[[#This Row],[PEMBULATAN]]*O33</f>
        <v>68512.5</v>
      </c>
    </row>
    <row r="34" spans="1:16" ht="26.25" customHeight="1" x14ac:dyDescent="0.2">
      <c r="A34" s="14"/>
      <c r="B34" s="14"/>
      <c r="C34" s="95" t="s">
        <v>217</v>
      </c>
      <c r="D34" s="96" t="s">
        <v>83</v>
      </c>
      <c r="E34" s="97">
        <v>44475</v>
      </c>
      <c r="F34" s="98" t="s">
        <v>84</v>
      </c>
      <c r="G34" s="97">
        <v>44476.791666666664</v>
      </c>
      <c r="H34" s="99" t="s">
        <v>186</v>
      </c>
      <c r="I34" s="100">
        <v>75</v>
      </c>
      <c r="J34" s="100">
        <v>24</v>
      </c>
      <c r="K34" s="100">
        <v>8</v>
      </c>
      <c r="L34" s="100">
        <v>4</v>
      </c>
      <c r="M34" s="101">
        <v>3.6</v>
      </c>
      <c r="N34" s="107">
        <v>4</v>
      </c>
      <c r="O34" s="64">
        <v>7000</v>
      </c>
      <c r="P34" s="65">
        <f>Table2245789101123456789[[#This Row],[PEMBULATAN]]*O34</f>
        <v>28000</v>
      </c>
    </row>
    <row r="35" spans="1:16" ht="26.25" customHeight="1" x14ac:dyDescent="0.2">
      <c r="A35" s="14"/>
      <c r="B35" s="14"/>
      <c r="C35" s="95" t="s">
        <v>218</v>
      </c>
      <c r="D35" s="96" t="s">
        <v>83</v>
      </c>
      <c r="E35" s="97">
        <v>44475</v>
      </c>
      <c r="F35" s="98" t="s">
        <v>84</v>
      </c>
      <c r="G35" s="97">
        <v>44476.791666666664</v>
      </c>
      <c r="H35" s="99" t="s">
        <v>186</v>
      </c>
      <c r="I35" s="100">
        <v>127</v>
      </c>
      <c r="J35" s="100">
        <v>27</v>
      </c>
      <c r="K35" s="100">
        <v>19</v>
      </c>
      <c r="L35" s="100">
        <v>7</v>
      </c>
      <c r="M35" s="101">
        <v>16.287749999999999</v>
      </c>
      <c r="N35" s="107">
        <v>16.287749999999999</v>
      </c>
      <c r="O35" s="64">
        <v>7000</v>
      </c>
      <c r="P35" s="65">
        <f>Table2245789101123456789[[#This Row],[PEMBULATAN]]*O35</f>
        <v>114014.25</v>
      </c>
    </row>
    <row r="36" spans="1:16" ht="26.25" customHeight="1" x14ac:dyDescent="0.2">
      <c r="A36" s="14"/>
      <c r="B36" s="14"/>
      <c r="C36" s="95" t="s">
        <v>219</v>
      </c>
      <c r="D36" s="96" t="s">
        <v>83</v>
      </c>
      <c r="E36" s="97">
        <v>44475</v>
      </c>
      <c r="F36" s="98" t="s">
        <v>84</v>
      </c>
      <c r="G36" s="97">
        <v>44476.791666666664</v>
      </c>
      <c r="H36" s="99" t="s">
        <v>186</v>
      </c>
      <c r="I36" s="100">
        <v>61</v>
      </c>
      <c r="J36" s="100">
        <v>41</v>
      </c>
      <c r="K36" s="100">
        <v>28</v>
      </c>
      <c r="L36" s="100">
        <v>10</v>
      </c>
      <c r="M36" s="101">
        <v>17.507000000000001</v>
      </c>
      <c r="N36" s="107">
        <v>17.507000000000001</v>
      </c>
      <c r="O36" s="64">
        <v>7000</v>
      </c>
      <c r="P36" s="65">
        <f>Table2245789101123456789[[#This Row],[PEMBULATAN]]*O36</f>
        <v>122549.00000000001</v>
      </c>
    </row>
    <row r="37" spans="1:16" ht="26.25" customHeight="1" x14ac:dyDescent="0.2">
      <c r="A37" s="14"/>
      <c r="B37" s="110"/>
      <c r="C37" s="95" t="s">
        <v>220</v>
      </c>
      <c r="D37" s="96" t="s">
        <v>83</v>
      </c>
      <c r="E37" s="97">
        <v>44475</v>
      </c>
      <c r="F37" s="98" t="s">
        <v>84</v>
      </c>
      <c r="G37" s="97">
        <v>44476.791666666664</v>
      </c>
      <c r="H37" s="99" t="s">
        <v>186</v>
      </c>
      <c r="I37" s="100">
        <v>87</v>
      </c>
      <c r="J37" s="100">
        <v>25</v>
      </c>
      <c r="K37" s="100">
        <v>17</v>
      </c>
      <c r="L37" s="100">
        <v>6</v>
      </c>
      <c r="M37" s="101">
        <v>9.2437500000000004</v>
      </c>
      <c r="N37" s="107">
        <v>9.2437500000000004</v>
      </c>
      <c r="O37" s="64">
        <v>7000</v>
      </c>
      <c r="P37" s="65">
        <f>Table2245789101123456789[[#This Row],[PEMBULATAN]]*O37</f>
        <v>64706.25</v>
      </c>
    </row>
    <row r="38" spans="1:16" ht="26.25" customHeight="1" x14ac:dyDescent="0.2">
      <c r="A38" s="14"/>
      <c r="B38" s="14" t="s">
        <v>221</v>
      </c>
      <c r="C38" s="95" t="s">
        <v>222</v>
      </c>
      <c r="D38" s="96" t="s">
        <v>83</v>
      </c>
      <c r="E38" s="97">
        <v>44475</v>
      </c>
      <c r="F38" s="98" t="s">
        <v>84</v>
      </c>
      <c r="G38" s="97">
        <v>44476.791666666664</v>
      </c>
      <c r="H38" s="99" t="s">
        <v>186</v>
      </c>
      <c r="I38" s="100">
        <v>50</v>
      </c>
      <c r="J38" s="100">
        <v>40</v>
      </c>
      <c r="K38" s="100">
        <v>20</v>
      </c>
      <c r="L38" s="100">
        <v>5</v>
      </c>
      <c r="M38" s="101">
        <v>10</v>
      </c>
      <c r="N38" s="107">
        <v>10</v>
      </c>
      <c r="O38" s="64">
        <v>7000</v>
      </c>
      <c r="P38" s="65">
        <f>Table2245789101123456789[[#This Row],[PEMBULATAN]]*O38</f>
        <v>70000</v>
      </c>
    </row>
    <row r="39" spans="1:16" ht="26.25" customHeight="1" x14ac:dyDescent="0.2">
      <c r="A39" s="14"/>
      <c r="B39" s="14"/>
      <c r="C39" s="95" t="s">
        <v>223</v>
      </c>
      <c r="D39" s="96" t="s">
        <v>83</v>
      </c>
      <c r="E39" s="97">
        <v>44475</v>
      </c>
      <c r="F39" s="98" t="s">
        <v>84</v>
      </c>
      <c r="G39" s="97">
        <v>44476.791666666664</v>
      </c>
      <c r="H39" s="99" t="s">
        <v>186</v>
      </c>
      <c r="I39" s="100">
        <v>22</v>
      </c>
      <c r="J39" s="100">
        <v>22</v>
      </c>
      <c r="K39" s="100">
        <v>16</v>
      </c>
      <c r="L39" s="100">
        <v>12</v>
      </c>
      <c r="M39" s="101">
        <v>1.9359999999999999</v>
      </c>
      <c r="N39" s="107">
        <v>12</v>
      </c>
      <c r="O39" s="64">
        <v>7000</v>
      </c>
      <c r="P39" s="65">
        <f>Table2245789101123456789[[#This Row],[PEMBULATAN]]*O39</f>
        <v>84000</v>
      </c>
    </row>
    <row r="40" spans="1:16" ht="26.25" customHeight="1" x14ac:dyDescent="0.2">
      <c r="A40" s="14"/>
      <c r="B40" s="14"/>
      <c r="C40" s="95" t="s">
        <v>224</v>
      </c>
      <c r="D40" s="96" t="s">
        <v>83</v>
      </c>
      <c r="E40" s="97">
        <v>44475</v>
      </c>
      <c r="F40" s="98" t="s">
        <v>84</v>
      </c>
      <c r="G40" s="97">
        <v>44476.791666666664</v>
      </c>
      <c r="H40" s="99" t="s">
        <v>186</v>
      </c>
      <c r="I40" s="100">
        <v>80</v>
      </c>
      <c r="J40" s="100">
        <v>17</v>
      </c>
      <c r="K40" s="100">
        <v>10</v>
      </c>
      <c r="L40" s="100">
        <v>6</v>
      </c>
      <c r="M40" s="101">
        <v>3.4</v>
      </c>
      <c r="N40" s="107">
        <v>6</v>
      </c>
      <c r="O40" s="64">
        <v>7000</v>
      </c>
      <c r="P40" s="65">
        <f>Table2245789101123456789[[#This Row],[PEMBULATAN]]*O40</f>
        <v>42000</v>
      </c>
    </row>
    <row r="41" spans="1:16" ht="26.25" customHeight="1" x14ac:dyDescent="0.2">
      <c r="A41" s="14"/>
      <c r="B41" s="14"/>
      <c r="C41" s="95" t="s">
        <v>225</v>
      </c>
      <c r="D41" s="96" t="s">
        <v>83</v>
      </c>
      <c r="E41" s="97">
        <v>44475</v>
      </c>
      <c r="F41" s="98" t="s">
        <v>84</v>
      </c>
      <c r="G41" s="97">
        <v>44476.791666666664</v>
      </c>
      <c r="H41" s="99" t="s">
        <v>186</v>
      </c>
      <c r="I41" s="100">
        <v>48</v>
      </c>
      <c r="J41" s="100">
        <v>35</v>
      </c>
      <c r="K41" s="100">
        <v>7</v>
      </c>
      <c r="L41" s="100">
        <v>10</v>
      </c>
      <c r="M41" s="101">
        <v>2.94</v>
      </c>
      <c r="N41" s="107">
        <v>10</v>
      </c>
      <c r="O41" s="64">
        <v>7000</v>
      </c>
      <c r="P41" s="65">
        <f>Table2245789101123456789[[#This Row],[PEMBULATAN]]*O41</f>
        <v>70000</v>
      </c>
    </row>
    <row r="42" spans="1:16" ht="22.5" customHeight="1" x14ac:dyDescent="0.2">
      <c r="A42" s="143" t="s">
        <v>30</v>
      </c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5"/>
      <c r="M42" s="78">
        <f>SUBTOTAL(109,Table2245789101123456789[KG VOLUME])</f>
        <v>585.64649999999995</v>
      </c>
      <c r="N42" s="68">
        <f>SUM(N3:N41)</f>
        <v>686.60474999999985</v>
      </c>
      <c r="O42" s="146">
        <f>SUM(P3:P41)</f>
        <v>4806233.25</v>
      </c>
      <c r="P42" s="147"/>
    </row>
    <row r="43" spans="1:16" ht="18" customHeight="1" x14ac:dyDescent="0.2">
      <c r="A43" s="85"/>
      <c r="B43" s="56" t="s">
        <v>42</v>
      </c>
      <c r="C43" s="55"/>
      <c r="D43" s="57" t="s">
        <v>43</v>
      </c>
      <c r="E43" s="85"/>
      <c r="F43" s="85"/>
      <c r="G43" s="85"/>
      <c r="H43" s="85"/>
      <c r="I43" s="85"/>
      <c r="J43" s="85"/>
      <c r="K43" s="85"/>
      <c r="L43" s="85"/>
      <c r="M43" s="86"/>
      <c r="N43" s="87" t="s">
        <v>52</v>
      </c>
      <c r="O43" s="88"/>
      <c r="P43" s="88">
        <v>0</v>
      </c>
    </row>
    <row r="44" spans="1:16" ht="18" customHeight="1" thickBot="1" x14ac:dyDescent="0.25">
      <c r="A44" s="85"/>
      <c r="B44" s="56"/>
      <c r="C44" s="55"/>
      <c r="D44" s="57"/>
      <c r="E44" s="85"/>
      <c r="F44" s="85"/>
      <c r="G44" s="85"/>
      <c r="H44" s="85"/>
      <c r="I44" s="85"/>
      <c r="J44" s="85"/>
      <c r="K44" s="85"/>
      <c r="L44" s="85"/>
      <c r="M44" s="86"/>
      <c r="N44" s="89" t="s">
        <v>53</v>
      </c>
      <c r="O44" s="90"/>
      <c r="P44" s="90">
        <f>O42-P43</f>
        <v>4806233.25</v>
      </c>
    </row>
    <row r="45" spans="1:16" ht="18" customHeight="1" x14ac:dyDescent="0.2">
      <c r="A45" s="11"/>
      <c r="H45" s="63"/>
      <c r="N45" s="62" t="s">
        <v>31</v>
      </c>
      <c r="P45" s="69">
        <f>P44*1%</f>
        <v>48062.332500000004</v>
      </c>
    </row>
    <row r="46" spans="1:16" ht="18" customHeight="1" thickBot="1" x14ac:dyDescent="0.25">
      <c r="A46" s="11"/>
      <c r="H46" s="63"/>
      <c r="N46" s="62" t="s">
        <v>54</v>
      </c>
      <c r="P46" s="71">
        <f>P44*2%</f>
        <v>96124.665000000008</v>
      </c>
    </row>
    <row r="47" spans="1:16" ht="18" customHeight="1" x14ac:dyDescent="0.2">
      <c r="A47" s="11"/>
      <c r="H47" s="63"/>
      <c r="N47" s="66" t="s">
        <v>32</v>
      </c>
      <c r="O47" s="67"/>
      <c r="P47" s="70">
        <f>P44+P45-P46</f>
        <v>4758170.9174999995</v>
      </c>
    </row>
    <row r="49" spans="1:16" x14ac:dyDescent="0.2">
      <c r="A49" s="11"/>
      <c r="H49" s="63"/>
      <c r="P49" s="71"/>
    </row>
    <row r="50" spans="1:16" x14ac:dyDescent="0.2">
      <c r="A50" s="11"/>
      <c r="H50" s="63"/>
      <c r="O50" s="58"/>
      <c r="P50" s="71"/>
    </row>
    <row r="51" spans="1:16" s="3" customFormat="1" x14ac:dyDescent="0.25">
      <c r="A51" s="11"/>
      <c r="B51" s="2"/>
      <c r="C51" s="2"/>
      <c r="E51" s="12"/>
      <c r="H51" s="63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</sheetData>
  <mergeCells count="2">
    <mergeCell ref="A42:L42"/>
    <mergeCell ref="O42:P42"/>
  </mergeCells>
  <conditionalFormatting sqref="B3">
    <cfRule type="duplicateValues" dxfId="805" priority="2"/>
  </conditionalFormatting>
  <conditionalFormatting sqref="B4">
    <cfRule type="duplicateValues" dxfId="804" priority="1"/>
  </conditionalFormatting>
  <conditionalFormatting sqref="B5:B41">
    <cfRule type="duplicateValues" dxfId="803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Named Ranges</vt:lpstr>
      </vt:variant>
      <vt:variant>
        <vt:i4>55</vt:i4>
      </vt:variant>
    </vt:vector>
  </HeadingPairs>
  <TitlesOfParts>
    <vt:vector size="110" baseType="lpstr">
      <vt:lpstr>035_Sicepat_Batam</vt:lpstr>
      <vt:lpstr>402155</vt:lpstr>
      <vt:lpstr>402157</vt:lpstr>
      <vt:lpstr>405780</vt:lpstr>
      <vt:lpstr>402162</vt:lpstr>
      <vt:lpstr>402164</vt:lpstr>
      <vt:lpstr>402166</vt:lpstr>
      <vt:lpstr>402169</vt:lpstr>
      <vt:lpstr>402171</vt:lpstr>
      <vt:lpstr>402173</vt:lpstr>
      <vt:lpstr>402175</vt:lpstr>
      <vt:lpstr>402177</vt:lpstr>
      <vt:lpstr>402179</vt:lpstr>
      <vt:lpstr>402181</vt:lpstr>
      <vt:lpstr>402183</vt:lpstr>
      <vt:lpstr>402186</vt:lpstr>
      <vt:lpstr>402188</vt:lpstr>
      <vt:lpstr>402191</vt:lpstr>
      <vt:lpstr>402195</vt:lpstr>
      <vt:lpstr>402198</vt:lpstr>
      <vt:lpstr>402199</vt:lpstr>
      <vt:lpstr>402230</vt:lpstr>
      <vt:lpstr>402232</vt:lpstr>
      <vt:lpstr>403901</vt:lpstr>
      <vt:lpstr>403904</vt:lpstr>
      <vt:lpstr>402234</vt:lpstr>
      <vt:lpstr>402236</vt:lpstr>
      <vt:lpstr>402238</vt:lpstr>
      <vt:lpstr>403909</vt:lpstr>
      <vt:lpstr>402302</vt:lpstr>
      <vt:lpstr>403914</vt:lpstr>
      <vt:lpstr>401487</vt:lpstr>
      <vt:lpstr>403916</vt:lpstr>
      <vt:lpstr>401490</vt:lpstr>
      <vt:lpstr>403918</vt:lpstr>
      <vt:lpstr>401492</vt:lpstr>
      <vt:lpstr>403920</vt:lpstr>
      <vt:lpstr>401495</vt:lpstr>
      <vt:lpstr>403922</vt:lpstr>
      <vt:lpstr>401498</vt:lpstr>
      <vt:lpstr>403926</vt:lpstr>
      <vt:lpstr>402247</vt:lpstr>
      <vt:lpstr>403928</vt:lpstr>
      <vt:lpstr>402422</vt:lpstr>
      <vt:lpstr>402426</vt:lpstr>
      <vt:lpstr>403930</vt:lpstr>
      <vt:lpstr>402432</vt:lpstr>
      <vt:lpstr>404002</vt:lpstr>
      <vt:lpstr>402440</vt:lpstr>
      <vt:lpstr>403932</vt:lpstr>
      <vt:lpstr>402304</vt:lpstr>
      <vt:lpstr>404004</vt:lpstr>
      <vt:lpstr>402310</vt:lpstr>
      <vt:lpstr>404006</vt:lpstr>
      <vt:lpstr>402314</vt:lpstr>
      <vt:lpstr>'035_Sicepat_Batam'!Print_Titles</vt:lpstr>
      <vt:lpstr>'401487'!Print_Titles</vt:lpstr>
      <vt:lpstr>'401490'!Print_Titles</vt:lpstr>
      <vt:lpstr>'401492'!Print_Titles</vt:lpstr>
      <vt:lpstr>'401495'!Print_Titles</vt:lpstr>
      <vt:lpstr>'401498'!Print_Titles</vt:lpstr>
      <vt:lpstr>'402155'!Print_Titles</vt:lpstr>
      <vt:lpstr>'402157'!Print_Titles</vt:lpstr>
      <vt:lpstr>'402162'!Print_Titles</vt:lpstr>
      <vt:lpstr>'402164'!Print_Titles</vt:lpstr>
      <vt:lpstr>'402166'!Print_Titles</vt:lpstr>
      <vt:lpstr>'402169'!Print_Titles</vt:lpstr>
      <vt:lpstr>'402171'!Print_Titles</vt:lpstr>
      <vt:lpstr>'402173'!Print_Titles</vt:lpstr>
      <vt:lpstr>'402175'!Print_Titles</vt:lpstr>
      <vt:lpstr>'402177'!Print_Titles</vt:lpstr>
      <vt:lpstr>'402179'!Print_Titles</vt:lpstr>
      <vt:lpstr>'402181'!Print_Titles</vt:lpstr>
      <vt:lpstr>'402183'!Print_Titles</vt:lpstr>
      <vt:lpstr>'402186'!Print_Titles</vt:lpstr>
      <vt:lpstr>'402188'!Print_Titles</vt:lpstr>
      <vt:lpstr>'402191'!Print_Titles</vt:lpstr>
      <vt:lpstr>'402195'!Print_Titles</vt:lpstr>
      <vt:lpstr>'402198'!Print_Titles</vt:lpstr>
      <vt:lpstr>'402199'!Print_Titles</vt:lpstr>
      <vt:lpstr>'402230'!Print_Titles</vt:lpstr>
      <vt:lpstr>'402232'!Print_Titles</vt:lpstr>
      <vt:lpstr>'402234'!Print_Titles</vt:lpstr>
      <vt:lpstr>'402236'!Print_Titles</vt:lpstr>
      <vt:lpstr>'402238'!Print_Titles</vt:lpstr>
      <vt:lpstr>'402247'!Print_Titles</vt:lpstr>
      <vt:lpstr>'402302'!Print_Titles</vt:lpstr>
      <vt:lpstr>'402304'!Print_Titles</vt:lpstr>
      <vt:lpstr>'402310'!Print_Titles</vt:lpstr>
      <vt:lpstr>'402314'!Print_Titles</vt:lpstr>
      <vt:lpstr>'402422'!Print_Titles</vt:lpstr>
      <vt:lpstr>'402426'!Print_Titles</vt:lpstr>
      <vt:lpstr>'402432'!Print_Titles</vt:lpstr>
      <vt:lpstr>'402440'!Print_Titles</vt:lpstr>
      <vt:lpstr>'403901'!Print_Titles</vt:lpstr>
      <vt:lpstr>'403904'!Print_Titles</vt:lpstr>
      <vt:lpstr>'403909'!Print_Titles</vt:lpstr>
      <vt:lpstr>'403914'!Print_Titles</vt:lpstr>
      <vt:lpstr>'403916'!Print_Titles</vt:lpstr>
      <vt:lpstr>'403918'!Print_Titles</vt:lpstr>
      <vt:lpstr>'403920'!Print_Titles</vt:lpstr>
      <vt:lpstr>'403922'!Print_Titles</vt:lpstr>
      <vt:lpstr>'403926'!Print_Titles</vt:lpstr>
      <vt:lpstr>'403928'!Print_Titles</vt:lpstr>
      <vt:lpstr>'403930'!Print_Titles</vt:lpstr>
      <vt:lpstr>'403932'!Print_Titles</vt:lpstr>
      <vt:lpstr>'404002'!Print_Titles</vt:lpstr>
      <vt:lpstr>'404004'!Print_Titles</vt:lpstr>
      <vt:lpstr>'404006'!Print_Titles</vt:lpstr>
      <vt:lpstr>'405780'!Print_Titles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2021-11-20T04:16:40Z</cp:lastPrinted>
  <dcterms:created xsi:type="dcterms:W3CDTF">2021-07-02T11:08:00Z</dcterms:created>
  <dcterms:modified xsi:type="dcterms:W3CDTF">2021-11-20T06:27:03Z</dcterms:modified>
</cp:coreProperties>
</file>