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Performa yang sudah ter invoice\"/>
    </mc:Choice>
  </mc:AlternateContent>
  <bookViews>
    <workbookView xWindow="0" yWindow="0" windowWidth="20490" windowHeight="7320" tabRatio="842"/>
  </bookViews>
  <sheets>
    <sheet name="039_Sicepat_Batam" sheetId="2" r:id="rId1"/>
    <sheet name="403451" sheetId="26" r:id="rId2"/>
    <sheet name="402442" sheetId="57" r:id="rId3"/>
    <sheet name="402447" sheetId="58" r:id="rId4"/>
    <sheet name="402320" sheetId="59" r:id="rId5"/>
    <sheet name="403936" sheetId="60" r:id="rId6"/>
    <sheet name="402325" sheetId="61" r:id="rId7"/>
    <sheet name="403282" sheetId="62" r:id="rId8"/>
    <sheet name="402326" sheetId="63" r:id="rId9"/>
    <sheet name="404008" sheetId="64" r:id="rId10"/>
    <sheet name="402331" sheetId="65" r:id="rId11"/>
    <sheet name="404010" sheetId="66" r:id="rId12"/>
    <sheet name="402334" sheetId="67" r:id="rId13"/>
    <sheet name="404015" sheetId="68" r:id="rId14"/>
    <sheet name="402338" sheetId="69" r:id="rId15"/>
    <sheet name="404016" sheetId="70" r:id="rId16"/>
    <sheet name="402324" sheetId="71" r:id="rId17"/>
    <sheet name="404018" sheetId="72" r:id="rId18"/>
    <sheet name="402346" sheetId="73" r:id="rId19"/>
    <sheet name="404020" sheetId="74" r:id="rId20"/>
    <sheet name="402349" sheetId="75" r:id="rId21"/>
    <sheet name="404022" sheetId="76" r:id="rId22"/>
    <sheet name="403854" sheetId="77" r:id="rId23"/>
    <sheet name="403940" sheetId="78" r:id="rId24"/>
    <sheet name="403858" sheetId="79" r:id="rId25"/>
    <sheet name="403860" sheetId="80" r:id="rId26"/>
    <sheet name="403942" sheetId="81" r:id="rId27"/>
    <sheet name="403864" sheetId="82" r:id="rId28"/>
    <sheet name="403866" sheetId="83" r:id="rId29"/>
    <sheet name="403211" sheetId="84" r:id="rId30"/>
    <sheet name="403870" sheetId="85" r:id="rId31"/>
    <sheet name="404025" sheetId="86" r:id="rId32"/>
    <sheet name="403872" sheetId="87" r:id="rId33"/>
    <sheet name="403214" sheetId="88" r:id="rId34"/>
    <sheet name="403874" sheetId="89" r:id="rId35"/>
    <sheet name="406053" sheetId="90" r:id="rId36"/>
    <sheet name="403876" sheetId="91" r:id="rId37"/>
    <sheet name="403217" sheetId="92" r:id="rId38"/>
    <sheet name="403882" sheetId="93" r:id="rId39"/>
    <sheet name="404029" sheetId="94" r:id="rId40"/>
    <sheet name="403888" sheetId="95" r:id="rId41"/>
    <sheet name="403894" sheetId="96" r:id="rId42"/>
  </sheets>
  <definedNames>
    <definedName name="_xlnm.Print_Titles" localSheetId="0">'039_Sicepat_Batam'!$2:$17</definedName>
    <definedName name="_xlnm.Print_Titles" localSheetId="4">'402320'!$2:$2</definedName>
    <definedName name="_xlnm.Print_Titles" localSheetId="16">'402324'!$2:$2</definedName>
    <definedName name="_xlnm.Print_Titles" localSheetId="6">'402325'!$2:$2</definedName>
    <definedName name="_xlnm.Print_Titles" localSheetId="8">'402326'!$2:$2</definedName>
    <definedName name="_xlnm.Print_Titles" localSheetId="10">'402331'!$2:$2</definedName>
    <definedName name="_xlnm.Print_Titles" localSheetId="12">'402334'!$2:$2</definedName>
    <definedName name="_xlnm.Print_Titles" localSheetId="14">'402338'!$2:$2</definedName>
    <definedName name="_xlnm.Print_Titles" localSheetId="18">'402346'!$2:$2</definedName>
    <definedName name="_xlnm.Print_Titles" localSheetId="20">'402349'!$2:$2</definedName>
    <definedName name="_xlnm.Print_Titles" localSheetId="2">'402442'!$2:$2</definedName>
    <definedName name="_xlnm.Print_Titles" localSheetId="3">'402447'!$2:$2</definedName>
    <definedName name="_xlnm.Print_Titles" localSheetId="29">'403211'!$2:$2</definedName>
    <definedName name="_xlnm.Print_Titles" localSheetId="33">'403214'!$2:$2</definedName>
    <definedName name="_xlnm.Print_Titles" localSheetId="7">'403282'!$2:$2</definedName>
    <definedName name="_xlnm.Print_Titles" localSheetId="1">'403451'!$2:$2</definedName>
    <definedName name="_xlnm.Print_Titles" localSheetId="22">'403854'!$2:$2</definedName>
    <definedName name="_xlnm.Print_Titles" localSheetId="24">'403858'!$2:$2</definedName>
    <definedName name="_xlnm.Print_Titles" localSheetId="25">'403860'!$2:$2</definedName>
    <definedName name="_xlnm.Print_Titles" localSheetId="27">'403864'!$2:$2</definedName>
    <definedName name="_xlnm.Print_Titles" localSheetId="28">'403866'!$2:$2</definedName>
    <definedName name="_xlnm.Print_Titles" localSheetId="30">'403870'!$2:$2</definedName>
    <definedName name="_xlnm.Print_Titles" localSheetId="32">'403872'!$2:$2</definedName>
    <definedName name="_xlnm.Print_Titles" localSheetId="34">'403874'!$2:$2</definedName>
    <definedName name="_xlnm.Print_Titles" localSheetId="36">'403876'!$2:$2</definedName>
    <definedName name="_xlnm.Print_Titles" localSheetId="38">'403882'!$2:$2</definedName>
    <definedName name="_xlnm.Print_Titles" localSheetId="40">'403888'!$2:$2</definedName>
    <definedName name="_xlnm.Print_Titles" localSheetId="41">'403894'!$2:$2</definedName>
    <definedName name="_xlnm.Print_Titles" localSheetId="5">'403936'!$2:$2</definedName>
    <definedName name="_xlnm.Print_Titles" localSheetId="23">'403940'!$2:$2</definedName>
    <definedName name="_xlnm.Print_Titles" localSheetId="26">'403942'!$2:$2</definedName>
    <definedName name="_xlnm.Print_Titles" localSheetId="9">'404008'!$2:$2</definedName>
    <definedName name="_xlnm.Print_Titles" localSheetId="11">'404010'!$2:$2</definedName>
    <definedName name="_xlnm.Print_Titles" localSheetId="13">'404015'!$2:$2</definedName>
    <definedName name="_xlnm.Print_Titles" localSheetId="15">'404016'!$2:$2</definedName>
    <definedName name="_xlnm.Print_Titles" localSheetId="17">'404018'!$2:$2</definedName>
    <definedName name="_xlnm.Print_Titles" localSheetId="19">'404020'!$2:$2</definedName>
    <definedName name="_xlnm.Print_Titles" localSheetId="21">'404022'!$2:$2</definedName>
    <definedName name="_xlnm.Print_Titles" localSheetId="31">'404025'!$2:$2</definedName>
  </definedNames>
  <calcPr calcId="162913"/>
</workbook>
</file>

<file path=xl/calcChain.xml><?xml version="1.0" encoding="utf-8"?>
<calcChain xmlns="http://schemas.openxmlformats.org/spreadsheetml/2006/main">
  <c r="O31" i="96" l="1"/>
  <c r="N31" i="96"/>
  <c r="O43" i="95"/>
  <c r="N43" i="95"/>
  <c r="O5" i="94"/>
  <c r="N5" i="94"/>
  <c r="O48" i="93"/>
  <c r="N48" i="93"/>
  <c r="O10" i="92"/>
  <c r="N10" i="92"/>
  <c r="O60" i="91"/>
  <c r="N60" i="91"/>
  <c r="O6" i="90"/>
  <c r="N6" i="90"/>
  <c r="O33" i="89"/>
  <c r="N33" i="89"/>
  <c r="O10" i="88"/>
  <c r="N10" i="88"/>
  <c r="O19" i="87"/>
  <c r="N19" i="87"/>
  <c r="O7" i="86"/>
  <c r="N7" i="86"/>
  <c r="O37" i="85"/>
  <c r="N37" i="85"/>
  <c r="O5" i="84"/>
  <c r="N5" i="84"/>
  <c r="O29" i="83"/>
  <c r="N29" i="83"/>
  <c r="O49" i="82"/>
  <c r="N49" i="82"/>
  <c r="O9" i="81"/>
  <c r="N9" i="81"/>
  <c r="O10" i="80"/>
  <c r="N10" i="80"/>
  <c r="O44" i="79"/>
  <c r="N44" i="79"/>
  <c r="O6" i="78"/>
  <c r="N6" i="78"/>
  <c r="O29" i="77"/>
  <c r="N29" i="77"/>
  <c r="O4" i="76"/>
  <c r="N4" i="76"/>
  <c r="O23" i="75"/>
  <c r="N23" i="75"/>
  <c r="O8" i="74"/>
  <c r="N8" i="74"/>
  <c r="O30" i="73"/>
  <c r="N30" i="73"/>
  <c r="O9" i="72"/>
  <c r="N9" i="72"/>
  <c r="O16" i="71"/>
  <c r="N16" i="71"/>
  <c r="O5" i="70"/>
  <c r="N5" i="70"/>
  <c r="O15" i="69"/>
  <c r="N15" i="69"/>
  <c r="O16" i="68"/>
  <c r="N16" i="68"/>
  <c r="O41" i="67"/>
  <c r="N41" i="67"/>
  <c r="O9" i="66"/>
  <c r="N9" i="66"/>
  <c r="O48" i="65"/>
  <c r="N48" i="65"/>
  <c r="O8" i="64"/>
  <c r="N8" i="64"/>
  <c r="O39" i="63"/>
  <c r="N39" i="63"/>
  <c r="O17" i="62"/>
  <c r="N17" i="62"/>
  <c r="O46" i="61"/>
  <c r="N46" i="61"/>
  <c r="O4" i="60"/>
  <c r="O9" i="59"/>
  <c r="N9" i="59"/>
  <c r="O25" i="58"/>
  <c r="N25" i="58"/>
  <c r="N11" i="57"/>
  <c r="O11" i="57"/>
  <c r="O4" i="26"/>
  <c r="J22" i="2" l="1"/>
  <c r="J18" i="2"/>
  <c r="C26" i="2"/>
  <c r="G58" i="2"/>
  <c r="J58" i="2" s="1"/>
  <c r="B58" i="2"/>
  <c r="C58" i="2"/>
  <c r="G57" i="2"/>
  <c r="J57" i="2" s="1"/>
  <c r="B57" i="2"/>
  <c r="C57" i="2"/>
  <c r="G56" i="2"/>
  <c r="J56" i="2" s="1"/>
  <c r="B56" i="2"/>
  <c r="C56" i="2"/>
  <c r="G55" i="2"/>
  <c r="J55" i="2" s="1"/>
  <c r="B55" i="2"/>
  <c r="C55" i="2"/>
  <c r="G54" i="2"/>
  <c r="J54" i="2" s="1"/>
  <c r="B54" i="2"/>
  <c r="C54" i="2"/>
  <c r="G53" i="2"/>
  <c r="J53" i="2" s="1"/>
  <c r="B53" i="2"/>
  <c r="C53" i="2"/>
  <c r="G52" i="2"/>
  <c r="J52" i="2" s="1"/>
  <c r="B52" i="2"/>
  <c r="C52" i="2"/>
  <c r="G51" i="2"/>
  <c r="J51" i="2" s="1"/>
  <c r="C51" i="2"/>
  <c r="B51" i="2"/>
  <c r="A51" i="2"/>
  <c r="A52" i="2"/>
  <c r="A53" i="2"/>
  <c r="A54" i="2"/>
  <c r="A55" i="2" s="1"/>
  <c r="A56" i="2" s="1"/>
  <c r="A57" i="2" s="1"/>
  <c r="A58" i="2" s="1"/>
  <c r="M31" i="96"/>
  <c r="P30" i="96"/>
  <c r="P29" i="96"/>
  <c r="P28" i="96"/>
  <c r="P27" i="96"/>
  <c r="P26" i="96"/>
  <c r="P25" i="96"/>
  <c r="P24" i="96"/>
  <c r="P23" i="96"/>
  <c r="P22" i="96"/>
  <c r="P21" i="96"/>
  <c r="P20" i="96"/>
  <c r="P19" i="96"/>
  <c r="P18" i="96"/>
  <c r="P17" i="96"/>
  <c r="P16" i="96"/>
  <c r="P15" i="96"/>
  <c r="P14" i="96"/>
  <c r="P13" i="96"/>
  <c r="P12" i="96"/>
  <c r="P11" i="96"/>
  <c r="P10" i="96"/>
  <c r="P9" i="96"/>
  <c r="P8" i="96"/>
  <c r="P7" i="96"/>
  <c r="P6" i="96"/>
  <c r="P5" i="96"/>
  <c r="P4" i="96"/>
  <c r="P3" i="96"/>
  <c r="M43" i="95"/>
  <c r="P42" i="95"/>
  <c r="P41" i="95"/>
  <c r="P40" i="95"/>
  <c r="P39" i="95"/>
  <c r="P38" i="95"/>
  <c r="P37" i="95"/>
  <c r="P36" i="95"/>
  <c r="P35" i="95"/>
  <c r="P34" i="95"/>
  <c r="P33" i="95"/>
  <c r="P32" i="95"/>
  <c r="P31" i="95"/>
  <c r="P30" i="95"/>
  <c r="P29" i="95"/>
  <c r="P28" i="95"/>
  <c r="P27" i="95"/>
  <c r="P26" i="95"/>
  <c r="P25" i="95"/>
  <c r="P24" i="95"/>
  <c r="P23" i="95"/>
  <c r="P22" i="95"/>
  <c r="P21" i="95"/>
  <c r="P20" i="95"/>
  <c r="P19" i="95"/>
  <c r="P18" i="95"/>
  <c r="P17" i="95"/>
  <c r="P16" i="95"/>
  <c r="P15" i="95"/>
  <c r="P14" i="95"/>
  <c r="P13" i="95"/>
  <c r="P12" i="95"/>
  <c r="P11" i="95"/>
  <c r="P10" i="95"/>
  <c r="P9" i="95"/>
  <c r="P8" i="95"/>
  <c r="P7" i="95"/>
  <c r="P6" i="95"/>
  <c r="P5" i="95"/>
  <c r="P4" i="95"/>
  <c r="P3" i="95"/>
  <c r="M5" i="94"/>
  <c r="P4" i="94"/>
  <c r="P3" i="94"/>
  <c r="P10" i="93"/>
  <c r="P11" i="93"/>
  <c r="P12" i="93"/>
  <c r="P13" i="93"/>
  <c r="P14" i="93"/>
  <c r="P15" i="93"/>
  <c r="P16" i="93"/>
  <c r="P17" i="93"/>
  <c r="P18" i="93"/>
  <c r="P19" i="93"/>
  <c r="P20" i="93"/>
  <c r="P21" i="93"/>
  <c r="P22" i="93"/>
  <c r="P23" i="93"/>
  <c r="P24" i="93"/>
  <c r="P25" i="93"/>
  <c r="P26" i="93"/>
  <c r="P27" i="93"/>
  <c r="P28" i="93"/>
  <c r="P29" i="93"/>
  <c r="P30" i="93"/>
  <c r="P31" i="93"/>
  <c r="P32" i="93"/>
  <c r="P33" i="93"/>
  <c r="P34" i="93"/>
  <c r="P35" i="93"/>
  <c r="P36" i="93"/>
  <c r="P37" i="93"/>
  <c r="P38" i="93"/>
  <c r="P39" i="93"/>
  <c r="P40" i="93"/>
  <c r="P41" i="93"/>
  <c r="P42" i="93"/>
  <c r="P43" i="93"/>
  <c r="P44" i="93"/>
  <c r="P45" i="93"/>
  <c r="P46" i="93"/>
  <c r="P47" i="93"/>
  <c r="M48" i="93"/>
  <c r="P9" i="93"/>
  <c r="P8" i="93"/>
  <c r="P7" i="93"/>
  <c r="P6" i="93"/>
  <c r="P5" i="93"/>
  <c r="P4" i="93"/>
  <c r="P3" i="93"/>
  <c r="M10" i="92"/>
  <c r="P9" i="92"/>
  <c r="P8" i="92"/>
  <c r="P7" i="92"/>
  <c r="P6" i="92"/>
  <c r="P5" i="92"/>
  <c r="P4" i="92"/>
  <c r="P3" i="92"/>
  <c r="P37" i="91"/>
  <c r="P36" i="91"/>
  <c r="P35" i="91"/>
  <c r="P34" i="91"/>
  <c r="P33" i="91"/>
  <c r="P32" i="91"/>
  <c r="P31" i="91"/>
  <c r="P30" i="91"/>
  <c r="P29" i="91"/>
  <c r="P28" i="91"/>
  <c r="P27" i="91"/>
  <c r="P26" i="91"/>
  <c r="P25" i="91"/>
  <c r="P24" i="91"/>
  <c r="P23" i="91"/>
  <c r="P22" i="91"/>
  <c r="P21" i="91"/>
  <c r="P20" i="91"/>
  <c r="P19" i="91"/>
  <c r="P18" i="91"/>
  <c r="P17" i="91"/>
  <c r="P16" i="91"/>
  <c r="P15" i="91"/>
  <c r="P14" i="91"/>
  <c r="P13" i="91"/>
  <c r="P12" i="91"/>
  <c r="P11" i="91"/>
  <c r="P10" i="91"/>
  <c r="P9" i="91"/>
  <c r="P8" i="91"/>
  <c r="P7" i="91"/>
  <c r="P6" i="91"/>
  <c r="P5" i="91"/>
  <c r="M60" i="91"/>
  <c r="P59" i="91"/>
  <c r="P58" i="91"/>
  <c r="P57" i="91"/>
  <c r="P56" i="91"/>
  <c r="P55" i="91"/>
  <c r="P54" i="91"/>
  <c r="P53" i="91"/>
  <c r="P52" i="91"/>
  <c r="P51" i="91"/>
  <c r="P50" i="91"/>
  <c r="P49" i="91"/>
  <c r="P48" i="91"/>
  <c r="P47" i="91"/>
  <c r="P46" i="91"/>
  <c r="P45" i="91"/>
  <c r="P44" i="91"/>
  <c r="P43" i="91"/>
  <c r="P42" i="91"/>
  <c r="P41" i="91"/>
  <c r="P40" i="91"/>
  <c r="P39" i="91"/>
  <c r="P38" i="91"/>
  <c r="P4" i="91"/>
  <c r="P3" i="91"/>
  <c r="P33" i="96" l="1"/>
  <c r="P35" i="96" s="1"/>
  <c r="P45" i="95"/>
  <c r="P46" i="95" s="1"/>
  <c r="P7" i="94"/>
  <c r="P9" i="94" s="1"/>
  <c r="P50" i="93"/>
  <c r="P52" i="93" s="1"/>
  <c r="P12" i="92"/>
  <c r="P14" i="92" s="1"/>
  <c r="P62" i="91"/>
  <c r="P64" i="91" s="1"/>
  <c r="P34" i="96" l="1"/>
  <c r="P36" i="96" s="1"/>
  <c r="P47" i="95"/>
  <c r="P48" i="95"/>
  <c r="P8" i="94"/>
  <c r="P10" i="94" s="1"/>
  <c r="P51" i="93"/>
  <c r="P53" i="93" s="1"/>
  <c r="P13" i="92"/>
  <c r="P15" i="92" s="1"/>
  <c r="P63" i="91"/>
  <c r="P65" i="91" s="1"/>
  <c r="M6" i="90" l="1"/>
  <c r="P5" i="90"/>
  <c r="P4" i="90"/>
  <c r="P3" i="90"/>
  <c r="M33" i="89"/>
  <c r="P32" i="89"/>
  <c r="P31" i="89"/>
  <c r="P30" i="89"/>
  <c r="P29" i="89"/>
  <c r="P28" i="89"/>
  <c r="P27" i="89"/>
  <c r="P26" i="89"/>
  <c r="P25" i="89"/>
  <c r="P24" i="89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P3" i="89"/>
  <c r="P8" i="90" l="1"/>
  <c r="P10" i="90" s="1"/>
  <c r="P35" i="89"/>
  <c r="P36" i="89" s="1"/>
  <c r="P6" i="74"/>
  <c r="P7" i="74"/>
  <c r="P9" i="90" l="1"/>
  <c r="P11" i="90" s="1"/>
  <c r="P37" i="89"/>
  <c r="P38" i="89" s="1"/>
  <c r="P15" i="68"/>
  <c r="P14" i="68"/>
  <c r="P13" i="68"/>
  <c r="P12" i="68"/>
  <c r="P11" i="68"/>
  <c r="P10" i="68"/>
  <c r="P9" i="68"/>
  <c r="P8" i="68"/>
  <c r="P7" i="68"/>
  <c r="P6" i="68"/>
  <c r="P5" i="68"/>
  <c r="P4" i="68"/>
  <c r="P3" i="68"/>
  <c r="B49" i="2" l="1"/>
  <c r="B50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C50" i="2" l="1"/>
  <c r="C49" i="2"/>
  <c r="C48" i="2"/>
  <c r="C47" i="2"/>
  <c r="G50" i="2"/>
  <c r="J50" i="2" s="1"/>
  <c r="M10" i="88"/>
  <c r="P9" i="88"/>
  <c r="P8" i="88"/>
  <c r="P7" i="88"/>
  <c r="P6" i="88"/>
  <c r="P5" i="88"/>
  <c r="P4" i="88"/>
  <c r="P3" i="88"/>
  <c r="C46" i="2"/>
  <c r="C45" i="2"/>
  <c r="C44" i="2"/>
  <c r="C43" i="2"/>
  <c r="C42" i="2"/>
  <c r="C41" i="2"/>
  <c r="C40" i="2"/>
  <c r="C39" i="2"/>
  <c r="C38" i="2"/>
  <c r="C37" i="2"/>
  <c r="C36" i="2"/>
  <c r="G49" i="2"/>
  <c r="J49" i="2" s="1"/>
  <c r="M19" i="87"/>
  <c r="P18" i="87"/>
  <c r="P17" i="87"/>
  <c r="P16" i="87"/>
  <c r="P15" i="87"/>
  <c r="P14" i="87"/>
  <c r="P13" i="87"/>
  <c r="P12" i="87"/>
  <c r="P11" i="87"/>
  <c r="P10" i="87"/>
  <c r="P9" i="87"/>
  <c r="P8" i="87"/>
  <c r="P7" i="87"/>
  <c r="P6" i="87"/>
  <c r="P5" i="87"/>
  <c r="P4" i="87"/>
  <c r="P3" i="87"/>
  <c r="G48" i="2"/>
  <c r="J48" i="2" s="1"/>
  <c r="M7" i="86"/>
  <c r="P6" i="86"/>
  <c r="P5" i="86"/>
  <c r="P4" i="86"/>
  <c r="P3" i="86"/>
  <c r="G47" i="2"/>
  <c r="J47" i="2" s="1"/>
  <c r="M37" i="85"/>
  <c r="P36" i="85"/>
  <c r="P35" i="85"/>
  <c r="P34" i="85"/>
  <c r="P33" i="85"/>
  <c r="P32" i="85"/>
  <c r="P31" i="85"/>
  <c r="P30" i="85"/>
  <c r="P29" i="85"/>
  <c r="P28" i="85"/>
  <c r="P27" i="85"/>
  <c r="P26" i="85"/>
  <c r="P25" i="85"/>
  <c r="P24" i="85"/>
  <c r="P23" i="85"/>
  <c r="P22" i="85"/>
  <c r="P21" i="85"/>
  <c r="P20" i="85"/>
  <c r="P19" i="85"/>
  <c r="P18" i="85"/>
  <c r="P17" i="85"/>
  <c r="P16" i="85"/>
  <c r="P15" i="85"/>
  <c r="P14" i="85"/>
  <c r="P13" i="85"/>
  <c r="P12" i="85"/>
  <c r="P11" i="85"/>
  <c r="P10" i="85"/>
  <c r="P9" i="85"/>
  <c r="P8" i="85"/>
  <c r="P7" i="85"/>
  <c r="P6" i="85"/>
  <c r="P5" i="85"/>
  <c r="P4" i="85"/>
  <c r="P3" i="85"/>
  <c r="G46" i="2"/>
  <c r="J46" i="2" s="1"/>
  <c r="M5" i="84"/>
  <c r="P4" i="84"/>
  <c r="P3" i="84"/>
  <c r="G45" i="2"/>
  <c r="J45" i="2" s="1"/>
  <c r="M29" i="83"/>
  <c r="P28" i="83"/>
  <c r="P27" i="83"/>
  <c r="P26" i="83"/>
  <c r="P25" i="83"/>
  <c r="P24" i="83"/>
  <c r="P23" i="83"/>
  <c r="P22" i="83"/>
  <c r="P21" i="83"/>
  <c r="P20" i="83"/>
  <c r="P19" i="83"/>
  <c r="P18" i="83"/>
  <c r="P17" i="83"/>
  <c r="P16" i="83"/>
  <c r="P15" i="83"/>
  <c r="P14" i="83"/>
  <c r="P13" i="83"/>
  <c r="P12" i="83"/>
  <c r="P11" i="83"/>
  <c r="P10" i="83"/>
  <c r="P9" i="83"/>
  <c r="P8" i="83"/>
  <c r="P7" i="83"/>
  <c r="P6" i="83"/>
  <c r="P5" i="83"/>
  <c r="P4" i="83"/>
  <c r="P3" i="83"/>
  <c r="G44" i="2"/>
  <c r="J44" i="2" s="1"/>
  <c r="M49" i="82"/>
  <c r="P48" i="82"/>
  <c r="P47" i="82"/>
  <c r="P46" i="82"/>
  <c r="P45" i="82"/>
  <c r="P44" i="82"/>
  <c r="P43" i="82"/>
  <c r="P42" i="82"/>
  <c r="P41" i="82"/>
  <c r="P40" i="82"/>
  <c r="P39" i="82"/>
  <c r="P38" i="82"/>
  <c r="P37" i="82"/>
  <c r="P36" i="82"/>
  <c r="P35" i="82"/>
  <c r="P34" i="82"/>
  <c r="P33" i="82"/>
  <c r="P32" i="82"/>
  <c r="P31" i="82"/>
  <c r="P30" i="82"/>
  <c r="P29" i="82"/>
  <c r="P28" i="82"/>
  <c r="P27" i="82"/>
  <c r="P26" i="82"/>
  <c r="P25" i="82"/>
  <c r="P24" i="82"/>
  <c r="P23" i="82"/>
  <c r="P22" i="82"/>
  <c r="P21" i="82"/>
  <c r="P20" i="82"/>
  <c r="P19" i="82"/>
  <c r="P18" i="82"/>
  <c r="P17" i="82"/>
  <c r="P16" i="82"/>
  <c r="P15" i="82"/>
  <c r="P14" i="82"/>
  <c r="P13" i="82"/>
  <c r="P12" i="82"/>
  <c r="P11" i="82"/>
  <c r="P10" i="82"/>
  <c r="P9" i="82"/>
  <c r="P8" i="82"/>
  <c r="P7" i="82"/>
  <c r="P6" i="82"/>
  <c r="P5" i="82"/>
  <c r="P4" i="82"/>
  <c r="P3" i="82"/>
  <c r="G43" i="2"/>
  <c r="J43" i="2" s="1"/>
  <c r="M9" i="81"/>
  <c r="P8" i="81"/>
  <c r="P7" i="81"/>
  <c r="P6" i="81"/>
  <c r="P5" i="81"/>
  <c r="P4" i="81"/>
  <c r="P3" i="81"/>
  <c r="G42" i="2"/>
  <c r="J42" i="2" s="1"/>
  <c r="M10" i="80"/>
  <c r="P9" i="80"/>
  <c r="P8" i="80"/>
  <c r="P7" i="80"/>
  <c r="P6" i="80"/>
  <c r="P5" i="80"/>
  <c r="P4" i="80"/>
  <c r="P3" i="80"/>
  <c r="G41" i="2"/>
  <c r="J41" i="2" s="1"/>
  <c r="M44" i="79"/>
  <c r="P43" i="79"/>
  <c r="P42" i="79"/>
  <c r="P41" i="79"/>
  <c r="P40" i="79"/>
  <c r="P39" i="79"/>
  <c r="P38" i="79"/>
  <c r="P37" i="79"/>
  <c r="P36" i="79"/>
  <c r="P35" i="79"/>
  <c r="P34" i="79"/>
  <c r="P33" i="79"/>
  <c r="P32" i="79"/>
  <c r="P31" i="79"/>
  <c r="P30" i="79"/>
  <c r="P29" i="79"/>
  <c r="P28" i="79"/>
  <c r="P27" i="79"/>
  <c r="P26" i="79"/>
  <c r="P25" i="79"/>
  <c r="P24" i="79"/>
  <c r="P23" i="79"/>
  <c r="P22" i="79"/>
  <c r="P21" i="79"/>
  <c r="P20" i="79"/>
  <c r="P19" i="79"/>
  <c r="P18" i="79"/>
  <c r="P17" i="79"/>
  <c r="P16" i="79"/>
  <c r="P15" i="79"/>
  <c r="P14" i="79"/>
  <c r="P13" i="79"/>
  <c r="P12" i="79"/>
  <c r="P11" i="79"/>
  <c r="P10" i="79"/>
  <c r="P9" i="79"/>
  <c r="P8" i="79"/>
  <c r="P7" i="79"/>
  <c r="P6" i="79"/>
  <c r="P5" i="79"/>
  <c r="P4" i="79"/>
  <c r="P3" i="79"/>
  <c r="G40" i="2"/>
  <c r="J40" i="2" s="1"/>
  <c r="M6" i="78"/>
  <c r="P5" i="78"/>
  <c r="P4" i="78"/>
  <c r="P3" i="78"/>
  <c r="G39" i="2"/>
  <c r="J39" i="2" s="1"/>
  <c r="M29" i="77"/>
  <c r="P28" i="77"/>
  <c r="P27" i="77"/>
  <c r="P26" i="77"/>
  <c r="P25" i="77"/>
  <c r="P24" i="77"/>
  <c r="P23" i="77"/>
  <c r="P22" i="77"/>
  <c r="P21" i="77"/>
  <c r="P20" i="77"/>
  <c r="P19" i="77"/>
  <c r="P18" i="77"/>
  <c r="P17" i="77"/>
  <c r="P16" i="77"/>
  <c r="P15" i="77"/>
  <c r="P14" i="77"/>
  <c r="P13" i="77"/>
  <c r="P12" i="77"/>
  <c r="P11" i="77"/>
  <c r="P10" i="77"/>
  <c r="P9" i="77"/>
  <c r="P8" i="77"/>
  <c r="P7" i="77"/>
  <c r="P6" i="77"/>
  <c r="P5" i="77"/>
  <c r="P4" i="77"/>
  <c r="P3" i="77"/>
  <c r="G38" i="2"/>
  <c r="J38" i="2" s="1"/>
  <c r="M4" i="76"/>
  <c r="P3" i="76"/>
  <c r="P6" i="76" s="1"/>
  <c r="G37" i="2"/>
  <c r="J37" i="2" s="1"/>
  <c r="M23" i="75"/>
  <c r="P22" i="75"/>
  <c r="P21" i="75"/>
  <c r="P20" i="75"/>
  <c r="P19" i="75"/>
  <c r="P18" i="75"/>
  <c r="P17" i="75"/>
  <c r="P16" i="75"/>
  <c r="P15" i="75"/>
  <c r="P14" i="75"/>
  <c r="P13" i="75"/>
  <c r="P12" i="75"/>
  <c r="P11" i="75"/>
  <c r="P10" i="75"/>
  <c r="P9" i="75"/>
  <c r="P8" i="75"/>
  <c r="P7" i="75"/>
  <c r="P6" i="75"/>
  <c r="P5" i="75"/>
  <c r="P4" i="75"/>
  <c r="P3" i="75"/>
  <c r="G36" i="2"/>
  <c r="J36" i="2" s="1"/>
  <c r="M8" i="74"/>
  <c r="P5" i="74"/>
  <c r="P4" i="74"/>
  <c r="P3" i="74"/>
  <c r="C35" i="2"/>
  <c r="C34" i="2"/>
  <c r="C33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G35" i="2"/>
  <c r="J35" i="2" s="1"/>
  <c r="M30" i="73"/>
  <c r="P29" i="73"/>
  <c r="P28" i="73"/>
  <c r="P27" i="73"/>
  <c r="P26" i="73"/>
  <c r="P25" i="73"/>
  <c r="P24" i="73"/>
  <c r="P23" i="73"/>
  <c r="P22" i="73"/>
  <c r="P21" i="73"/>
  <c r="P20" i="73"/>
  <c r="P19" i="73"/>
  <c r="P18" i="73"/>
  <c r="P17" i="73"/>
  <c r="P16" i="73"/>
  <c r="P15" i="73"/>
  <c r="P14" i="73"/>
  <c r="P13" i="73"/>
  <c r="P12" i="73"/>
  <c r="P11" i="73"/>
  <c r="P10" i="73"/>
  <c r="P9" i="73"/>
  <c r="P8" i="73"/>
  <c r="P7" i="73"/>
  <c r="P6" i="73"/>
  <c r="P5" i="73"/>
  <c r="P4" i="73"/>
  <c r="P3" i="73"/>
  <c r="G34" i="2"/>
  <c r="J34" i="2" s="1"/>
  <c r="M9" i="72"/>
  <c r="P8" i="72"/>
  <c r="P7" i="72"/>
  <c r="P6" i="72"/>
  <c r="P5" i="72"/>
  <c r="P4" i="72"/>
  <c r="P3" i="72"/>
  <c r="G33" i="2"/>
  <c r="J33" i="2" s="1"/>
  <c r="M16" i="71"/>
  <c r="P15" i="71"/>
  <c r="P14" i="71"/>
  <c r="P13" i="71"/>
  <c r="P12" i="71"/>
  <c r="P11" i="71"/>
  <c r="P10" i="71"/>
  <c r="P9" i="71"/>
  <c r="P8" i="71"/>
  <c r="P7" i="71"/>
  <c r="P6" i="71"/>
  <c r="P5" i="71"/>
  <c r="P4" i="71"/>
  <c r="P3" i="71"/>
  <c r="G32" i="2"/>
  <c r="J32" i="2" s="1"/>
  <c r="M5" i="70"/>
  <c r="P4" i="70"/>
  <c r="P3" i="70"/>
  <c r="G31" i="2"/>
  <c r="J31" i="2" s="1"/>
  <c r="M15" i="69"/>
  <c r="P14" i="69"/>
  <c r="P13" i="69"/>
  <c r="P12" i="69"/>
  <c r="P11" i="69"/>
  <c r="P10" i="69"/>
  <c r="P9" i="69"/>
  <c r="P8" i="69"/>
  <c r="P7" i="69"/>
  <c r="P6" i="69"/>
  <c r="P5" i="69"/>
  <c r="P4" i="69"/>
  <c r="P3" i="69"/>
  <c r="G30" i="2"/>
  <c r="J30" i="2" s="1"/>
  <c r="M16" i="68"/>
  <c r="G29" i="2"/>
  <c r="J29" i="2" s="1"/>
  <c r="M41" i="67"/>
  <c r="P40" i="67"/>
  <c r="P39" i="67"/>
  <c r="P38" i="67"/>
  <c r="P37" i="67"/>
  <c r="P36" i="67"/>
  <c r="P35" i="67"/>
  <c r="P34" i="67"/>
  <c r="P33" i="67"/>
  <c r="P32" i="67"/>
  <c r="P31" i="67"/>
  <c r="P30" i="67"/>
  <c r="P29" i="67"/>
  <c r="P28" i="67"/>
  <c r="P27" i="67"/>
  <c r="P26" i="67"/>
  <c r="P25" i="67"/>
  <c r="P24" i="67"/>
  <c r="P23" i="67"/>
  <c r="P22" i="67"/>
  <c r="P21" i="67"/>
  <c r="P20" i="67"/>
  <c r="P19" i="67"/>
  <c r="P18" i="67"/>
  <c r="P17" i="67"/>
  <c r="P16" i="67"/>
  <c r="P15" i="67"/>
  <c r="P14" i="67"/>
  <c r="P13" i="67"/>
  <c r="P12" i="67"/>
  <c r="P11" i="67"/>
  <c r="P10" i="67"/>
  <c r="P9" i="67"/>
  <c r="P8" i="67"/>
  <c r="P7" i="67"/>
  <c r="P6" i="67"/>
  <c r="P5" i="67"/>
  <c r="P4" i="67"/>
  <c r="P3" i="67"/>
  <c r="G28" i="2"/>
  <c r="J28" i="2" s="1"/>
  <c r="M9" i="66"/>
  <c r="P8" i="66"/>
  <c r="P7" i="66"/>
  <c r="P6" i="66"/>
  <c r="P5" i="66"/>
  <c r="P4" i="66"/>
  <c r="P3" i="66"/>
  <c r="G27" i="2"/>
  <c r="J27" i="2" s="1"/>
  <c r="M48" i="65"/>
  <c r="P47" i="65"/>
  <c r="P46" i="65"/>
  <c r="P45" i="65"/>
  <c r="P44" i="65"/>
  <c r="P43" i="65"/>
  <c r="P42" i="65"/>
  <c r="P41" i="65"/>
  <c r="P40" i="65"/>
  <c r="P39" i="65"/>
  <c r="P38" i="65"/>
  <c r="P37" i="65"/>
  <c r="P36" i="65"/>
  <c r="P35" i="65"/>
  <c r="P34" i="65"/>
  <c r="P33" i="65"/>
  <c r="P32" i="65"/>
  <c r="P31" i="65"/>
  <c r="P30" i="65"/>
  <c r="P29" i="65"/>
  <c r="P28" i="65"/>
  <c r="P27" i="65"/>
  <c r="P26" i="65"/>
  <c r="P25" i="65"/>
  <c r="P24" i="65"/>
  <c r="P23" i="65"/>
  <c r="P22" i="65"/>
  <c r="P21" i="65"/>
  <c r="P20" i="65"/>
  <c r="P19" i="65"/>
  <c r="P18" i="65"/>
  <c r="P17" i="65"/>
  <c r="P16" i="65"/>
  <c r="P15" i="65"/>
  <c r="P14" i="65"/>
  <c r="P13" i="65"/>
  <c r="P12" i="65"/>
  <c r="P11" i="65"/>
  <c r="P10" i="65"/>
  <c r="P9" i="65"/>
  <c r="P8" i="65"/>
  <c r="P7" i="65"/>
  <c r="P6" i="65"/>
  <c r="P5" i="65"/>
  <c r="P4" i="65"/>
  <c r="P3" i="65"/>
  <c r="G26" i="2"/>
  <c r="J26" i="2" s="1"/>
  <c r="M8" i="64"/>
  <c r="P7" i="64"/>
  <c r="P6" i="64"/>
  <c r="P5" i="64"/>
  <c r="P4" i="64"/>
  <c r="P3" i="64"/>
  <c r="G25" i="2"/>
  <c r="J25" i="2" s="1"/>
  <c r="M39" i="63"/>
  <c r="P38" i="63"/>
  <c r="P37" i="63"/>
  <c r="P36" i="63"/>
  <c r="P35" i="63"/>
  <c r="P34" i="63"/>
  <c r="P33" i="63"/>
  <c r="P32" i="63"/>
  <c r="P31" i="63"/>
  <c r="P30" i="63"/>
  <c r="P29" i="63"/>
  <c r="P28" i="63"/>
  <c r="P27" i="63"/>
  <c r="P26" i="63"/>
  <c r="P25" i="63"/>
  <c r="P24" i="63"/>
  <c r="P23" i="63"/>
  <c r="P22" i="63"/>
  <c r="P21" i="63"/>
  <c r="P20" i="63"/>
  <c r="P19" i="63"/>
  <c r="P18" i="63"/>
  <c r="P17" i="63"/>
  <c r="P16" i="63"/>
  <c r="P15" i="63"/>
  <c r="P14" i="63"/>
  <c r="P13" i="63"/>
  <c r="P12" i="63"/>
  <c r="P11" i="63"/>
  <c r="P10" i="63"/>
  <c r="P9" i="63"/>
  <c r="P8" i="63"/>
  <c r="P7" i="63"/>
  <c r="P6" i="63"/>
  <c r="P5" i="63"/>
  <c r="P4" i="63"/>
  <c r="P3" i="63"/>
  <c r="G24" i="2"/>
  <c r="J24" i="2" s="1"/>
  <c r="M17" i="62"/>
  <c r="P16" i="62"/>
  <c r="P15" i="62"/>
  <c r="P14" i="62"/>
  <c r="P13" i="62"/>
  <c r="P12" i="62"/>
  <c r="P11" i="62"/>
  <c r="P10" i="62"/>
  <c r="P9" i="62"/>
  <c r="P8" i="62"/>
  <c r="P7" i="62"/>
  <c r="P6" i="62"/>
  <c r="P5" i="62"/>
  <c r="P4" i="62"/>
  <c r="P3" i="62"/>
  <c r="G23" i="2"/>
  <c r="J23" i="2" s="1"/>
  <c r="M46" i="61"/>
  <c r="P45" i="61"/>
  <c r="P44" i="61"/>
  <c r="P43" i="61"/>
  <c r="P42" i="61"/>
  <c r="P41" i="61"/>
  <c r="P40" i="61"/>
  <c r="P39" i="61"/>
  <c r="P38" i="61"/>
  <c r="P37" i="61"/>
  <c r="P36" i="61"/>
  <c r="P35" i="61"/>
  <c r="P34" i="61"/>
  <c r="P33" i="61"/>
  <c r="P32" i="61"/>
  <c r="P31" i="61"/>
  <c r="P30" i="61"/>
  <c r="P29" i="61"/>
  <c r="P28" i="61"/>
  <c r="P27" i="61"/>
  <c r="P26" i="61"/>
  <c r="P25" i="61"/>
  <c r="P24" i="61"/>
  <c r="P23" i="61"/>
  <c r="P22" i="61"/>
  <c r="P21" i="61"/>
  <c r="P20" i="61"/>
  <c r="P19" i="61"/>
  <c r="P18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N4" i="60"/>
  <c r="G22" i="2" s="1"/>
  <c r="M4" i="60"/>
  <c r="P3" i="60"/>
  <c r="P6" i="60" s="1"/>
  <c r="G21" i="2"/>
  <c r="J21" i="2" s="1"/>
  <c r="M9" i="59"/>
  <c r="P8" i="59"/>
  <c r="P7" i="59"/>
  <c r="P6" i="59"/>
  <c r="P5" i="59"/>
  <c r="P4" i="59"/>
  <c r="P3" i="59"/>
  <c r="G20" i="2"/>
  <c r="J20" i="2" s="1"/>
  <c r="M25" i="58"/>
  <c r="P24" i="58"/>
  <c r="P23" i="58"/>
  <c r="P22" i="58"/>
  <c r="P21" i="58"/>
  <c r="P20" i="58"/>
  <c r="P19" i="58"/>
  <c r="P18" i="58"/>
  <c r="P17" i="58"/>
  <c r="P16" i="58"/>
  <c r="P15" i="58"/>
  <c r="P14" i="58"/>
  <c r="P13" i="58"/>
  <c r="P12" i="58"/>
  <c r="P11" i="58"/>
  <c r="P10" i="58"/>
  <c r="P9" i="58"/>
  <c r="P8" i="58"/>
  <c r="P7" i="58"/>
  <c r="P6" i="58"/>
  <c r="P5" i="58"/>
  <c r="P4" i="58"/>
  <c r="P3" i="58"/>
  <c r="G19" i="2"/>
  <c r="J19" i="2" s="1"/>
  <c r="M11" i="57"/>
  <c r="P10" i="57"/>
  <c r="P9" i="57"/>
  <c r="P8" i="57"/>
  <c r="P7" i="57"/>
  <c r="P6" i="57"/>
  <c r="P5" i="57"/>
  <c r="P4" i="57"/>
  <c r="P3" i="57"/>
  <c r="J59" i="2" l="1"/>
  <c r="P31" i="77"/>
  <c r="P33" i="77" s="1"/>
  <c r="P8" i="78"/>
  <c r="P9" i="78" s="1"/>
  <c r="P46" i="79"/>
  <c r="P48" i="79" s="1"/>
  <c r="P12" i="80"/>
  <c r="P14" i="80" s="1"/>
  <c r="P11" i="81"/>
  <c r="P13" i="81" s="1"/>
  <c r="P51" i="82"/>
  <c r="P53" i="82" s="1"/>
  <c r="P31" i="83"/>
  <c r="P33" i="83" s="1"/>
  <c r="P7" i="84"/>
  <c r="P9" i="84" s="1"/>
  <c r="P39" i="85"/>
  <c r="P41" i="85" s="1"/>
  <c r="P9" i="86"/>
  <c r="P11" i="86" s="1"/>
  <c r="P21" i="87"/>
  <c r="P22" i="87" s="1"/>
  <c r="P12" i="88"/>
  <c r="P14" i="88" s="1"/>
  <c r="P25" i="75"/>
  <c r="P10" i="74"/>
  <c r="P11" i="74" s="1"/>
  <c r="P32" i="73"/>
  <c r="P34" i="73" s="1"/>
  <c r="P11" i="72"/>
  <c r="P13" i="72" s="1"/>
  <c r="P18" i="71"/>
  <c r="P20" i="71" s="1"/>
  <c r="P7" i="70"/>
  <c r="P9" i="70" s="1"/>
  <c r="P17" i="69"/>
  <c r="P19" i="69" s="1"/>
  <c r="P18" i="68"/>
  <c r="P20" i="68" s="1"/>
  <c r="P43" i="67"/>
  <c r="P44" i="67" s="1"/>
  <c r="P11" i="66"/>
  <c r="P12" i="66" s="1"/>
  <c r="P50" i="65"/>
  <c r="P52" i="65" s="1"/>
  <c r="P10" i="64"/>
  <c r="P12" i="64" s="1"/>
  <c r="P41" i="63"/>
  <c r="P43" i="63" s="1"/>
  <c r="P19" i="62"/>
  <c r="P21" i="62" s="1"/>
  <c r="P48" i="61"/>
  <c r="P49" i="61" s="1"/>
  <c r="P11" i="59"/>
  <c r="P13" i="59" s="1"/>
  <c r="P27" i="58"/>
  <c r="P28" i="58" s="1"/>
  <c r="P13" i="57"/>
  <c r="P14" i="57" s="1"/>
  <c r="P8" i="76"/>
  <c r="P7" i="76"/>
  <c r="P27" i="75"/>
  <c r="P26" i="75"/>
  <c r="P12" i="72"/>
  <c r="P8" i="60"/>
  <c r="P7" i="60"/>
  <c r="P52" i="82" l="1"/>
  <c r="P9" i="76"/>
  <c r="P13" i="88"/>
  <c r="P15" i="88" s="1"/>
  <c r="P23" i="87"/>
  <c r="P24" i="87" s="1"/>
  <c r="P10" i="86"/>
  <c r="P12" i="86" s="1"/>
  <c r="P40" i="85"/>
  <c r="P42" i="85" s="1"/>
  <c r="P8" i="84"/>
  <c r="P10" i="84" s="1"/>
  <c r="P32" i="83"/>
  <c r="P34" i="83" s="1"/>
  <c r="P54" i="82"/>
  <c r="P12" i="81"/>
  <c r="P14" i="81" s="1"/>
  <c r="P13" i="80"/>
  <c r="P15" i="80" s="1"/>
  <c r="P47" i="79"/>
  <c r="P49" i="79" s="1"/>
  <c r="P10" i="78"/>
  <c r="P11" i="78" s="1"/>
  <c r="P32" i="77"/>
  <c r="P34" i="77" s="1"/>
  <c r="P9" i="60"/>
  <c r="P28" i="75"/>
  <c r="P14" i="72"/>
  <c r="P12" i="74"/>
  <c r="P13" i="74" s="1"/>
  <c r="P33" i="73"/>
  <c r="P35" i="73" s="1"/>
  <c r="P19" i="71"/>
  <c r="P21" i="71" s="1"/>
  <c r="P8" i="70"/>
  <c r="P10" i="70" s="1"/>
  <c r="P18" i="69"/>
  <c r="P20" i="69" s="1"/>
  <c r="P13" i="66"/>
  <c r="P14" i="66" s="1"/>
  <c r="P19" i="68"/>
  <c r="P21" i="68" s="1"/>
  <c r="P45" i="67"/>
  <c r="P46" i="67" s="1"/>
  <c r="P51" i="65"/>
  <c r="P53" i="65" s="1"/>
  <c r="P11" i="64"/>
  <c r="P13" i="64" s="1"/>
  <c r="P42" i="63"/>
  <c r="P44" i="63" s="1"/>
  <c r="P20" i="62"/>
  <c r="P22" i="62" s="1"/>
  <c r="P50" i="61"/>
  <c r="P51" i="61" s="1"/>
  <c r="P12" i="59"/>
  <c r="P14" i="59" s="1"/>
  <c r="P29" i="58"/>
  <c r="P30" i="58" s="1"/>
  <c r="P15" i="57"/>
  <c r="P16" i="57" s="1"/>
  <c r="I64" i="2"/>
  <c r="I63" i="2"/>
  <c r="I65" i="2" s="1"/>
  <c r="N4" i="26" l="1"/>
  <c r="G18" i="2" s="1"/>
  <c r="M4" i="26"/>
  <c r="P3" i="26"/>
  <c r="P6" i="26" l="1"/>
  <c r="P7" i="26" l="1"/>
  <c r="P8" i="26"/>
  <c r="P9" i="26" l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I76" i="2" l="1"/>
  <c r="J62" i="2" l="1"/>
  <c r="J64" i="2" l="1"/>
  <c r="J63" i="2"/>
  <c r="J65" i="2" l="1"/>
</calcChain>
</file>

<file path=xl/sharedStrings.xml><?xml version="1.0" encoding="utf-8"?>
<sst xmlns="http://schemas.openxmlformats.org/spreadsheetml/2006/main" count="4215" uniqueCount="918">
  <si>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</si>
  <si>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</si>
  <si>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</si>
  <si>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</si>
  <si>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</si>
  <si>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</si>
  <si>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</si>
  <si>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</si>
  <si>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</si>
  <si>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</si>
  <si>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</si>
  <si>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</si>
  <si>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</si>
  <si>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</si>
  <si>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</si>
  <si>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</si>
  <si>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</si>
  <si>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</si>
  <si>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</si>
  <si>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</si>
  <si>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</si>
  <si>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</si>
  <si>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</si>
  <si>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</si>
  <si>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</si>
  <si>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</si>
  <si>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</si>
  <si>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</si>
  <si>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</si>
  <si>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</si>
  <si>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</si>
  <si>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</si>
  <si>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</si>
  <si>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</si>
  <si>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</si>
  <si>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</si>
  <si>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</si>
  <si>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</si>
  <si>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</si>
  <si>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</si>
  <si>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</si>
  <si>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</si>
  <si>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</si>
  <si>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</si>
  <si>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</si>
  <si>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</si>
  <si>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</si>
  <si>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</si>
  <si>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</si>
  <si>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</si>
  <si>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BATAM</t>
  </si>
  <si>
    <t>Periode</t>
  </si>
  <si>
    <t>Discount 10%</t>
  </si>
  <si>
    <t>Total Setelah Discount</t>
  </si>
  <si>
    <t>PPh 23  2%</t>
  </si>
  <si>
    <t>PPh 23 2%</t>
  </si>
  <si>
    <t>TOTAL</t>
  </si>
  <si>
    <t>DMD/2111/01/XRIW0647</t>
  </si>
  <si>
    <t>GSK211101UGV067</t>
  </si>
  <si>
    <t>DMP BTH (BATAM)</t>
  </si>
  <si>
    <t>KM SATRIA PRATAMA</t>
  </si>
  <si>
    <t>6/11/2021 RESTU</t>
  </si>
  <si>
    <t>DMD/2111/01/TOCM5806</t>
  </si>
  <si>
    <t>DMD/2111/01/ITDN9018</t>
  </si>
  <si>
    <t>GSK211101RBM458</t>
  </si>
  <si>
    <t>GSK211031UZT845</t>
  </si>
  <si>
    <t>GSK211031WUF059</t>
  </si>
  <si>
    <t>GSK211101ACY418</t>
  </si>
  <si>
    <t>GSK211101DIT274</t>
  </si>
  <si>
    <t>GSK211101UNH459</t>
  </si>
  <si>
    <t>GSK211101PZF214</t>
  </si>
  <si>
    <t>GSK211101YDI218</t>
  </si>
  <si>
    <t>DMD/2111/02/LQIP7524</t>
  </si>
  <si>
    <t>GSK211102TPS123</t>
  </si>
  <si>
    <t>GSK211102BQK740</t>
  </si>
  <si>
    <t>GSK211102XAF234</t>
  </si>
  <si>
    <t>GSK211031KPQ754</t>
  </si>
  <si>
    <t>GSK211031JNL164</t>
  </si>
  <si>
    <t>GSK211102TOU475</t>
  </si>
  <si>
    <t>GSK211101SXI250</t>
  </si>
  <si>
    <t>GSK211101OKF650</t>
  </si>
  <si>
    <t>GSK211102GHC618</t>
  </si>
  <si>
    <t>GSK211102RQG809</t>
  </si>
  <si>
    <t>GSK211102EDS429</t>
  </si>
  <si>
    <t>GSK211102DSX892</t>
  </si>
  <si>
    <t>GSK211102DEU547</t>
  </si>
  <si>
    <t>GSK211102ZLK398</t>
  </si>
  <si>
    <t>GSK211102UIZ794</t>
  </si>
  <si>
    <t>GSK211102BYJ261</t>
  </si>
  <si>
    <t>GSK211102HQY401</t>
  </si>
  <si>
    <t>GSK211102QJA617</t>
  </si>
  <si>
    <t>DMD/2111/02/QXPB6572</t>
  </si>
  <si>
    <t>GSK211102USO084</t>
  </si>
  <si>
    <t>DMD/2111/02/SIMQ6745</t>
  </si>
  <si>
    <t>GSK211102IJK149</t>
  </si>
  <si>
    <t>GSK211102SAG369</t>
  </si>
  <si>
    <t>GSK211102LVC985</t>
  </si>
  <si>
    <t>DMD/2111/02/IWAB3170</t>
  </si>
  <si>
    <t>GSK211101CBG709</t>
  </si>
  <si>
    <t>GSK211101KFS091</t>
  </si>
  <si>
    <t>GSK211102CWA129</t>
  </si>
  <si>
    <t>GSK211102UAJ412</t>
  </si>
  <si>
    <t>GSK211102CGK813</t>
  </si>
  <si>
    <t>GSK211102TAK983</t>
  </si>
  <si>
    <t>DMD/2111/03/YBVS6973</t>
  </si>
  <si>
    <t>GSK211103DXF425</t>
  </si>
  <si>
    <t>DMD/2111/03/ZWHM3526</t>
  </si>
  <si>
    <t>GSK211103JOK582</t>
  </si>
  <si>
    <t>GSK211103HON396</t>
  </si>
  <si>
    <t>GSK211102PXC358</t>
  </si>
  <si>
    <t>GSK211103KYI581</t>
  </si>
  <si>
    <t>GSK211103KRI845</t>
  </si>
  <si>
    <t>GSK211103DXN043</t>
  </si>
  <si>
    <t>GSK211103OSK207</t>
  </si>
  <si>
    <t>GSK211101KJR602</t>
  </si>
  <si>
    <t>GSK211103XKO340</t>
  </si>
  <si>
    <t>GSK211103WGK268</t>
  </si>
  <si>
    <t>GSK211103TAP109</t>
  </si>
  <si>
    <t>GSK211103XYH687</t>
  </si>
  <si>
    <t>GSK211103NHD187</t>
  </si>
  <si>
    <t>GSK211103WZT527</t>
  </si>
  <si>
    <t>GSK211103XEV036</t>
  </si>
  <si>
    <t>GSK211102DFP743</t>
  </si>
  <si>
    <t>GSK211103XEQ431</t>
  </si>
  <si>
    <t>GSK211103JVH482</t>
  </si>
  <si>
    <t>GSK211103SNH630</t>
  </si>
  <si>
    <t>GSK211101NUX051</t>
  </si>
  <si>
    <t>GSK211102UWR753</t>
  </si>
  <si>
    <t>GSK211102BIF762</t>
  </si>
  <si>
    <t>GSK211102DSZ075</t>
  </si>
  <si>
    <t>GSK211103TLB187</t>
  </si>
  <si>
    <t>GSK211103DME579</t>
  </si>
  <si>
    <t>GSK211103GXR980</t>
  </si>
  <si>
    <t>GSK211103TPY751</t>
  </si>
  <si>
    <t>GSK211103XKM563</t>
  </si>
  <si>
    <t>GSK211102ZBK470</t>
  </si>
  <si>
    <t>GSK211103BMZ645</t>
  </si>
  <si>
    <t>GSK211103BFZ867</t>
  </si>
  <si>
    <t>GSK211103MHT079</t>
  </si>
  <si>
    <t>GSK211103ZVR476</t>
  </si>
  <si>
    <t>GSK211102KEL951</t>
  </si>
  <si>
    <t>GSK211102JLH310</t>
  </si>
  <si>
    <t>DMD/2111/03/UVLM2918</t>
  </si>
  <si>
    <t>GSK211103NAP541</t>
  </si>
  <si>
    <t>GSK211102CSG786</t>
  </si>
  <si>
    <t>DMD/2111/03/XMTF7305</t>
  </si>
  <si>
    <t>GSK211103XKR381</t>
  </si>
  <si>
    <t>GSK211103WJY905</t>
  </si>
  <si>
    <t>GSK211103ALN193</t>
  </si>
  <si>
    <t>DMD/2111/03/GQHM1836</t>
  </si>
  <si>
    <t>GSK211103MBY967</t>
  </si>
  <si>
    <t>GSK211103ZCI596</t>
  </si>
  <si>
    <t>GSK211103WYA729</t>
  </si>
  <si>
    <t>DMD/2111/04/ORYW1479</t>
  </si>
  <si>
    <t>GSK211104MOJ612</t>
  </si>
  <si>
    <t>GSK211104KXP928</t>
  </si>
  <si>
    <t>GSK211104QLJ894</t>
  </si>
  <si>
    <t>GSK211104ZVU941</t>
  </si>
  <si>
    <t>GSK211104COS526</t>
  </si>
  <si>
    <t>GSK211104JGB052</t>
  </si>
  <si>
    <t>GSK211104IAT214</t>
  </si>
  <si>
    <t>GSK211104DRV841</t>
  </si>
  <si>
    <t>GSK211104NXS049</t>
  </si>
  <si>
    <t>GSK211104MZK965</t>
  </si>
  <si>
    <t>GSK211104KQI690</t>
  </si>
  <si>
    <t>GSK211104HCV857</t>
  </si>
  <si>
    <t>GSK211104IKY537</t>
  </si>
  <si>
    <t>DMD/2111/04/BPST3920</t>
  </si>
  <si>
    <t>GSK211104LJA421</t>
  </si>
  <si>
    <t>KM SEMBILANG</t>
  </si>
  <si>
    <t>13/11/2021 RESTU</t>
  </si>
  <si>
    <t>DMD/2111/04/AFHC8104</t>
  </si>
  <si>
    <t>GSK211103SUW730</t>
  </si>
  <si>
    <t>GSK211104GSJ048</t>
  </si>
  <si>
    <t>GSK211102EVQ362</t>
  </si>
  <si>
    <t>GSK211104NOD826</t>
  </si>
  <si>
    <t>GSK211102PMT529</t>
  </si>
  <si>
    <t>GSK211104ACZ743</t>
  </si>
  <si>
    <t>GSK211104TUK238</t>
  </si>
  <si>
    <t>GSK211104VOR371</t>
  </si>
  <si>
    <t>GSK211104OWA179</t>
  </si>
  <si>
    <t>GSK211103JWF462</t>
  </si>
  <si>
    <t>GSK211104LOE026</t>
  </si>
  <si>
    <t>GSK211103WRK978</t>
  </si>
  <si>
    <t>GSK211104CZR435</t>
  </si>
  <si>
    <t>GSK211103JVB013</t>
  </si>
  <si>
    <t>GSK211103ZJS238</t>
  </si>
  <si>
    <t>GSK211104CDP295</t>
  </si>
  <si>
    <t>GSK211104IWY976</t>
  </si>
  <si>
    <t>GSK211102UWR062</t>
  </si>
  <si>
    <t>GSK211104NDG358</t>
  </si>
  <si>
    <t>GSK211103IBT182</t>
  </si>
  <si>
    <t>GSK211104CNF523</t>
  </si>
  <si>
    <t>DMD/2111/04/YTAR3496</t>
  </si>
  <si>
    <t>GSK211104ORK058</t>
  </si>
  <si>
    <t>DMD/2111/04/UDJP7086</t>
  </si>
  <si>
    <t>GSK211104NGE129</t>
  </si>
  <si>
    <t>GSK211104ZHI975</t>
  </si>
  <si>
    <t>GSK211104DSV715</t>
  </si>
  <si>
    <t>GSK211104ACK509</t>
  </si>
  <si>
    <t>GSK211104XHG037</t>
  </si>
  <si>
    <t>GSK211104IYG760</t>
  </si>
  <si>
    <t>GSK211104BVP702</t>
  </si>
  <si>
    <t>GSK211104ZTX460</t>
  </si>
  <si>
    <t>GSK211104XDF261</t>
  </si>
  <si>
    <t>GSK211104CDH032</t>
  </si>
  <si>
    <t>GSK211104JIZ985</t>
  </si>
  <si>
    <t>GSK211104ZIS018</t>
  </si>
  <si>
    <t>GSK211104CVJ649</t>
  </si>
  <si>
    <t>GSK211104BJZ865</t>
  </si>
  <si>
    <t>DMD/2111/05/DSQA3807</t>
  </si>
  <si>
    <t>GSK211105VKW245</t>
  </si>
  <si>
    <t>GSK211105MUE875</t>
  </si>
  <si>
    <t>GSK211105YBI107</t>
  </si>
  <si>
    <t>GSK211105XKY063</t>
  </si>
  <si>
    <t>GSK211105NKW024</t>
  </si>
  <si>
    <t>DMD/2111/05/KFOG1680</t>
  </si>
  <si>
    <t>GSK211105DNM842</t>
  </si>
  <si>
    <t>GSK211105AUX067</t>
  </si>
  <si>
    <t>GSK211105KCR103</t>
  </si>
  <si>
    <t>GSK211104XYH213</t>
  </si>
  <si>
    <t>GSK211104NWK610</t>
  </si>
  <si>
    <t>GSK211105GYJ024</t>
  </si>
  <si>
    <t>GSK211105BRV893</t>
  </si>
  <si>
    <t>GSK211103ADB972</t>
  </si>
  <si>
    <t>GSK211103SFN526</t>
  </si>
  <si>
    <t>GSK211105RIG891</t>
  </si>
  <si>
    <t>GSK211104HVL013</t>
  </si>
  <si>
    <t>GSK211105EFT947</t>
  </si>
  <si>
    <t>GSK211105BDC739</t>
  </si>
  <si>
    <t>GSK211105ROW908</t>
  </si>
  <si>
    <t>GSK211105ZOG792</t>
  </si>
  <si>
    <t>GSK211104UVX831</t>
  </si>
  <si>
    <t>GSK211105TEM275</t>
  </si>
  <si>
    <t>GSK211105CSU185</t>
  </si>
  <si>
    <t>GSK211105OUZ823</t>
  </si>
  <si>
    <t>GSK211105JAS510</t>
  </si>
  <si>
    <t>GSK211104GKU938</t>
  </si>
  <si>
    <t>GSK211105RGV890</t>
  </si>
  <si>
    <t>GSK211103STB735</t>
  </si>
  <si>
    <t>GSK211105TMI706</t>
  </si>
  <si>
    <t>GSK211103QJE129</t>
  </si>
  <si>
    <t>GSK211104TBY031</t>
  </si>
  <si>
    <t>GSK211104ZIX127</t>
  </si>
  <si>
    <t>GSK211105SCG319</t>
  </si>
  <si>
    <t>GSK211105WOI361</t>
  </si>
  <si>
    <t>GSK211105RZD940</t>
  </si>
  <si>
    <t>GSK211105VDO426</t>
  </si>
  <si>
    <t>GSK211105ZEG217</t>
  </si>
  <si>
    <t>DMD/2111/05/RKQO2549</t>
  </si>
  <si>
    <t>GSK211105RCE653</t>
  </si>
  <si>
    <t>DMD/2111/05/GZFP9046</t>
  </si>
  <si>
    <t>GSK211105VDO608</t>
  </si>
  <si>
    <t>GSK211105QAP978</t>
  </si>
  <si>
    <t>GSK211105PXT542</t>
  </si>
  <si>
    <t>GSK211105ZKG720</t>
  </si>
  <si>
    <t>GSK211105ELD810</t>
  </si>
  <si>
    <t>GSK211105DNK420</t>
  </si>
  <si>
    <t>GSK211105JPD495</t>
  </si>
  <si>
    <t>GSK211105QJF892</t>
  </si>
  <si>
    <t>GSK211105XRT279</t>
  </si>
  <si>
    <t>GSK211105DZC973</t>
  </si>
  <si>
    <t>GSK211105ALV630</t>
  </si>
  <si>
    <t>GSK211105KGO590</t>
  </si>
  <si>
    <t>DMD/2111/06/XYNG7921</t>
  </si>
  <si>
    <t>GSK211106GWT293</t>
  </si>
  <si>
    <t>GSK211106FCH618</t>
  </si>
  <si>
    <t>GSK211106VIF023</t>
  </si>
  <si>
    <t>GSK211106CXT519</t>
  </si>
  <si>
    <t>GSK211106XCM950</t>
  </si>
  <si>
    <t>DMD/2111/06/JXOR5769</t>
  </si>
  <si>
    <t>GSK211106KIN309</t>
  </si>
  <si>
    <t>DMD/2111/06/VHRE0579</t>
  </si>
  <si>
    <t>GSK211106FLP429</t>
  </si>
  <si>
    <t>GSK211106FVZ562</t>
  </si>
  <si>
    <t>GSK211104KYF765</t>
  </si>
  <si>
    <t>GSK211106XPW492</t>
  </si>
  <si>
    <t>GSK211106FGI431</t>
  </si>
  <si>
    <t>GSK211106PON905</t>
  </si>
  <si>
    <t>GSK211104YSK687</t>
  </si>
  <si>
    <t>GSK211106NTG905</t>
  </si>
  <si>
    <t>GSK211104SIM258</t>
  </si>
  <si>
    <t>GSK211106YDS745</t>
  </si>
  <si>
    <t>GSK211106FBR768</t>
  </si>
  <si>
    <t>GSK211106CDS423</t>
  </si>
  <si>
    <t>GSK211106DRK483</t>
  </si>
  <si>
    <t>GSK211106BDQ238</t>
  </si>
  <si>
    <t>GSK211106MTY573</t>
  </si>
  <si>
    <t>GSK211104TIF791</t>
  </si>
  <si>
    <t>GSK211106HPU581</t>
  </si>
  <si>
    <t>GSK211106EOS971</t>
  </si>
  <si>
    <t>GSK211106GUX310</t>
  </si>
  <si>
    <t>GSK211106EDZ470</t>
  </si>
  <si>
    <t>GSK211106BZR015</t>
  </si>
  <si>
    <t>GSK211105ZTR945</t>
  </si>
  <si>
    <t>GSK211106PSV597</t>
  </si>
  <si>
    <t>GSK211106OYD230</t>
  </si>
  <si>
    <t>GSK211104ETN617</t>
  </si>
  <si>
    <t>GSK211106BXP137</t>
  </si>
  <si>
    <t>GSK211104ZWV357</t>
  </si>
  <si>
    <t>GSK211106SBA301</t>
  </si>
  <si>
    <t>GSK211106UJK590</t>
  </si>
  <si>
    <t>DMD/2111/06/SRQT6952</t>
  </si>
  <si>
    <t>GSK211106SDE940</t>
  </si>
  <si>
    <t>GSK211106WLX914</t>
  </si>
  <si>
    <t>DMD/2111/06/UKIQ7291</t>
  </si>
  <si>
    <t>GSK211106RFY984</t>
  </si>
  <si>
    <t>GSK211106BKE204</t>
  </si>
  <si>
    <t>GSK211106EZO635</t>
  </si>
  <si>
    <t>GSK211106OVD374</t>
  </si>
  <si>
    <t>GSK211106TBO674</t>
  </si>
  <si>
    <t>GSK211106STR013</t>
  </si>
  <si>
    <t>GSK211106XBO014</t>
  </si>
  <si>
    <t>DMD/2111/07/BUTP9152</t>
  </si>
  <si>
    <t>GSK211107UZP982</t>
  </si>
  <si>
    <t>GSK211107VZU461</t>
  </si>
  <si>
    <t>GSK211107JPW356</t>
  </si>
  <si>
    <t>GSK211107DLE160</t>
  </si>
  <si>
    <t>GSK211107QDK567</t>
  </si>
  <si>
    <t>GSK211107OVN013</t>
  </si>
  <si>
    <t>GSK211107XZH478</t>
  </si>
  <si>
    <t>GSK211107OMV421</t>
  </si>
  <si>
    <t>GSK211107XHM152</t>
  </si>
  <si>
    <t>GSK211107VNL248</t>
  </si>
  <si>
    <t>GSK211107SXK796</t>
  </si>
  <si>
    <t>GSK211107KFA218</t>
  </si>
  <si>
    <t>DMD/2111/07/ZIGH5072</t>
  </si>
  <si>
    <t>GSK211107NCD345</t>
  </si>
  <si>
    <t>DMD/2111/07/FVLA4370</t>
  </si>
  <si>
    <t>GSK211107DYB965</t>
  </si>
  <si>
    <t>GSK211107WZP857</t>
  </si>
  <si>
    <t>GSK211107ISO239</t>
  </si>
  <si>
    <t>GSK211107BFQ376</t>
  </si>
  <si>
    <t>GSK211107CWL732</t>
  </si>
  <si>
    <t>GSK211107VOT038</t>
  </si>
  <si>
    <t>GSK211107DBQ308</t>
  </si>
  <si>
    <t>GSK211107VOA829</t>
  </si>
  <si>
    <t>GSK211107BDI615</t>
  </si>
  <si>
    <t>DMD/2111/07/MTWK4053</t>
  </si>
  <si>
    <t>GSK211105TZE829</t>
  </si>
  <si>
    <t>GSK211107ILU461</t>
  </si>
  <si>
    <t>DMD/2111/07/MWHP2481</t>
  </si>
  <si>
    <t>GSK211107KPB417</t>
  </si>
  <si>
    <t>14/11/2021 RESTU</t>
  </si>
  <si>
    <t>DMD/2111/08/PGDV3681</t>
  </si>
  <si>
    <t>GSK211108LRQ514</t>
  </si>
  <si>
    <t>GSK211108HFK841</t>
  </si>
  <si>
    <t>DMD/2111/08/ARTU2735</t>
  </si>
  <si>
    <t>GSK211106OKL196</t>
  </si>
  <si>
    <t>GSK211106REY739</t>
  </si>
  <si>
    <t>GSK211106NRH893</t>
  </si>
  <si>
    <t>GSK211106ZNH819</t>
  </si>
  <si>
    <t>GSK211106TPB468</t>
  </si>
  <si>
    <t>GSK211106FXA256</t>
  </si>
  <si>
    <t>GSK211106ZRB081</t>
  </si>
  <si>
    <t>DMD/2111/08/KMYJ6791</t>
  </si>
  <si>
    <t>GSK211108HGO061</t>
  </si>
  <si>
    <t>GSK211106CLN037</t>
  </si>
  <si>
    <t>GSK211108MJN412</t>
  </si>
  <si>
    <t>GSK211108JVZ124</t>
  </si>
  <si>
    <t>DMD/2111/08/DPKJ2613</t>
  </si>
  <si>
    <t>GSK211106CPG814</t>
  </si>
  <si>
    <t>GSK211106MAO197</t>
  </si>
  <si>
    <t>DMD/2111/09/RKSG2714 </t>
  </si>
  <si>
    <t>GSK211109HJV457</t>
  </si>
  <si>
    <t>GSK211109DSO359</t>
  </si>
  <si>
    <t>GSK211109YVN304</t>
  </si>
  <si>
    <t>DMD/2111/09/CLTY0528</t>
  </si>
  <si>
    <t>GSK211109MQJ870</t>
  </si>
  <si>
    <t>GSK211109FYG891</t>
  </si>
  <si>
    <t>GSK211109RMX125</t>
  </si>
  <si>
    <t>14/11/2021 M.FIKRI</t>
  </si>
  <si>
    <t>DMD/2111/09/KDTX3580</t>
  </si>
  <si>
    <t>GSK211109MCX362</t>
  </si>
  <si>
    <t>GSK211109BGJ921</t>
  </si>
  <si>
    <t>GSK211109BFS250</t>
  </si>
  <si>
    <t>GSK211109HXP238</t>
  </si>
  <si>
    <t>GSK211109QVJ568</t>
  </si>
  <si>
    <t>GSK211109CBK684</t>
  </si>
  <si>
    <t>GSK211109AZR238</t>
  </si>
  <si>
    <t>GSK211109ZNG480</t>
  </si>
  <si>
    <t>GSK211109NPD295</t>
  </si>
  <si>
    <t>GSK211109EAD184</t>
  </si>
  <si>
    <t>GSK211109TNP708</t>
  </si>
  <si>
    <t>GSK211109JHP436</t>
  </si>
  <si>
    <t>GSK211109NPO725</t>
  </si>
  <si>
    <t>GSK211107OQX271</t>
  </si>
  <si>
    <t>GSK211109ICP075</t>
  </si>
  <si>
    <t>GSK211109WLA047</t>
  </si>
  <si>
    <t>GSK211109DBG019</t>
  </si>
  <si>
    <t>GSK211107DBC371</t>
  </si>
  <si>
    <t>GSK211109SEZ905</t>
  </si>
  <si>
    <t>GSK211109WOE507</t>
  </si>
  <si>
    <t>GSK211109NIL729</t>
  </si>
  <si>
    <t>GSK211109JCG912</t>
  </si>
  <si>
    <t>DMD/2111/09/CDVX5320</t>
  </si>
  <si>
    <t>GSK211109MDI982</t>
  </si>
  <si>
    <t>GSK211109NXJ930</t>
  </si>
  <si>
    <t>GSK211109INJ970</t>
  </si>
  <si>
    <t>DMD/2111/09/YIML9521</t>
  </si>
  <si>
    <t>GSK211105IAE175</t>
  </si>
  <si>
    <t>GSK211105YVQ817</t>
  </si>
  <si>
    <t xml:space="preserve">DMD/2111/10/JKHM1762 </t>
  </si>
  <si>
    <t>GSK211110EFW570</t>
  </si>
  <si>
    <t>GSK211110VYC309</t>
  </si>
  <si>
    <t>GSK211110PZR216</t>
  </si>
  <si>
    <t>DMD/2111/10/NJHB2740</t>
  </si>
  <si>
    <t>GSK211110UGI842</t>
  </si>
  <si>
    <t>DMD/2111/10/ZYOK0586</t>
  </si>
  <si>
    <t>GSK211110NCT230</t>
  </si>
  <si>
    <t>DMD/2111/10/GTZF3819</t>
  </si>
  <si>
    <t>GSK211110MXG538</t>
  </si>
  <si>
    <t>GSK211110CLK094</t>
  </si>
  <si>
    <t>GSK211110CTB983</t>
  </si>
  <si>
    <t>GSK211110RFH420</t>
  </si>
  <si>
    <t>GSK211110CGR826</t>
  </si>
  <si>
    <t>GSK211110HXU978</t>
  </si>
  <si>
    <t>GSK211110SJC604</t>
  </si>
  <si>
    <t>GSK211110JID465</t>
  </si>
  <si>
    <t>GSK211110BFN642</t>
  </si>
  <si>
    <t>GSK211110BKU712</t>
  </si>
  <si>
    <t>GSK211110RTM926</t>
  </si>
  <si>
    <t>GSK211110IJP724</t>
  </si>
  <si>
    <t>GSK211110IEZ143</t>
  </si>
  <si>
    <t>GSK211110EOW061</t>
  </si>
  <si>
    <t>GSK211108NEJ965</t>
  </si>
  <si>
    <t>GSK211110OVC587</t>
  </si>
  <si>
    <t>GSK211110OPG863</t>
  </si>
  <si>
    <t>DMD/2111/10/MHWX4561</t>
  </si>
  <si>
    <t>GSK211110HMG168</t>
  </si>
  <si>
    <t>GSK211110EXY097</t>
  </si>
  <si>
    <t>DMD/2111/10/HJGU5912</t>
  </si>
  <si>
    <t>GSK211110TJH361</t>
  </si>
  <si>
    <t>GSK211111QCT145</t>
  </si>
  <si>
    <t>DMD/2111/11/FNEW7540</t>
  </si>
  <si>
    <t>DMD/2111/11/LZJC4652</t>
  </si>
  <si>
    <t>GSK211111ARL497</t>
  </si>
  <si>
    <t>GSK211111BFV671</t>
  </si>
  <si>
    <t>GSK211111SIO624</t>
  </si>
  <si>
    <t>GSK211111EGH124</t>
  </si>
  <si>
    <t>GSK211111NKP486</t>
  </si>
  <si>
    <t>GSK211109IJM254</t>
  </si>
  <si>
    <t>GSK211109RPK650</t>
  </si>
  <si>
    <t>GSK211111UOP194</t>
  </si>
  <si>
    <t>GSK211111PDB024</t>
  </si>
  <si>
    <t>GSK211111ABJ147</t>
  </si>
  <si>
    <t>GSK211111XDO536</t>
  </si>
  <si>
    <t>GSK211110XSO548</t>
  </si>
  <si>
    <t>GSK211111NRG039</t>
  </si>
  <si>
    <t>GSK211111COW107</t>
  </si>
  <si>
    <t>GSK211111IXC089</t>
  </si>
  <si>
    <t>GSK211111BJG135</t>
  </si>
  <si>
    <t>GSK211111XMT895</t>
  </si>
  <si>
    <t>GSK211110XRN972</t>
  </si>
  <si>
    <t>GSK211111SAD731</t>
  </si>
  <si>
    <t>GSK211111PDZ521</t>
  </si>
  <si>
    <t>GSK211111UQS372</t>
  </si>
  <si>
    <t>GSK211111HBM326</t>
  </si>
  <si>
    <t>DMD/2111/11/WYLU2673</t>
  </si>
  <si>
    <t>GSK211109BYK407</t>
  </si>
  <si>
    <t>GSK211109POD421</t>
  </si>
  <si>
    <t>GSK211111GQE329</t>
  </si>
  <si>
    <t>GSK211111UKB903</t>
  </si>
  <si>
    <t>15/11/2021 M.FIKRI</t>
  </si>
  <si>
    <t>DMD/2111/12/SVQP0538</t>
  </si>
  <si>
    <t>GSK211112YXF368</t>
  </si>
  <si>
    <t>GSK211112DXN096</t>
  </si>
  <si>
    <t>GSK211112ZKS650</t>
  </si>
  <si>
    <t>19/11/2021 M. FIKRI</t>
  </si>
  <si>
    <t>DMD/2111/12/KHIF4316</t>
  </si>
  <si>
    <t>GSK211112KSI317</t>
  </si>
  <si>
    <t>GSK211112UYP680</t>
  </si>
  <si>
    <t>GSK211111IAY415</t>
  </si>
  <si>
    <t>GSK211112OXI856</t>
  </si>
  <si>
    <t>GSK211112REF348</t>
  </si>
  <si>
    <t>GSK211111EDG485</t>
  </si>
  <si>
    <t>GSK211110XQT829</t>
  </si>
  <si>
    <t>GSK211112AYH621</t>
  </si>
  <si>
    <t>GSK211110RQY109</t>
  </si>
  <si>
    <t>GSK211110WTM523</t>
  </si>
  <si>
    <t>GSK211112PIZ689</t>
  </si>
  <si>
    <t>GSK211112DMQ635</t>
  </si>
  <si>
    <t>GSK211112MTQ583</t>
  </si>
  <si>
    <t>GSK211111HDM096</t>
  </si>
  <si>
    <t>GSK211111MCV694</t>
  </si>
  <si>
    <t>GSK211112EOG785</t>
  </si>
  <si>
    <t>DMD/2111/12/FHEO7261</t>
  </si>
  <si>
    <t>GSK211112TCR485</t>
  </si>
  <si>
    <t>GSK211112NVI516</t>
  </si>
  <si>
    <t>GSK211111QEF457</t>
  </si>
  <si>
    <t>GSK211112GUJ973</t>
  </si>
  <si>
    <t>GSK211112BUJ816</t>
  </si>
  <si>
    <t>GSK211112BDI761</t>
  </si>
  <si>
    <t>GSK211112KOW912</t>
  </si>
  <si>
    <t>GSK211112WTH834</t>
  </si>
  <si>
    <t>GSK211112UVJ953</t>
  </si>
  <si>
    <t>GSK211112ATC429</t>
  </si>
  <si>
    <t>GSK211112CZT619</t>
  </si>
  <si>
    <t>GSK211112QTF085</t>
  </si>
  <si>
    <t>GSK211112TKV213</t>
  </si>
  <si>
    <t>GSK211112PYR972</t>
  </si>
  <si>
    <t>GSK211112ZLI298</t>
  </si>
  <si>
    <t>GSK211112UCN382</t>
  </si>
  <si>
    <t>GSK211112OJS983</t>
  </si>
  <si>
    <t>GSK211112TAM704</t>
  </si>
  <si>
    <t>GSK211112HBQ972</t>
  </si>
  <si>
    <t>DMD/2111/12/UNIE4826</t>
  </si>
  <si>
    <t>GSK211112HMD184</t>
  </si>
  <si>
    <t>GSK211112SCZ947</t>
  </si>
  <si>
    <t>GSK211112LQB875</t>
  </si>
  <si>
    <t>GSK211112OYP764</t>
  </si>
  <si>
    <t>GSK211112BCV548</t>
  </si>
  <si>
    <t>DMD/2111/12/OSUK6783</t>
  </si>
  <si>
    <t>GSK211112HMA147</t>
  </si>
  <si>
    <t>DMD/2111/12/ILVR3052</t>
  </si>
  <si>
    <t>GSK211112ZTL963</t>
  </si>
  <si>
    <t>GSK211111MPJ910</t>
  </si>
  <si>
    <t>GSK211111PMC260</t>
  </si>
  <si>
    <t>GSK211112WGN871</t>
  </si>
  <si>
    <t>GSK211111NQS035</t>
  </si>
  <si>
    <t>GSK211111QPE510</t>
  </si>
  <si>
    <t>DMD/2111/12/DWRN5102</t>
  </si>
  <si>
    <t>GSK211112WYC821</t>
  </si>
  <si>
    <t>DMD/2111/13/PXAO8647</t>
  </si>
  <si>
    <t>GSK211113RCV124</t>
  </si>
  <si>
    <t>GSK211113IUR962</t>
  </si>
  <si>
    <t>GSK211113DGF742</t>
  </si>
  <si>
    <t>GSK211113LMS369</t>
  </si>
  <si>
    <t>GSK211113XEC268</t>
  </si>
  <si>
    <t>DMD/2111/13/PLSU0139</t>
  </si>
  <si>
    <t xml:space="preserve"> GSK211113FBM472</t>
  </si>
  <si>
    <t>DMD/2111/13/TFKV9047</t>
  </si>
  <si>
    <t>GSK211113ZOM054</t>
  </si>
  <si>
    <t>GSK211113YZC328</t>
  </si>
  <si>
    <t>GSK211111CUV817</t>
  </si>
  <si>
    <t>GSK211113GKW890</t>
  </si>
  <si>
    <t>GSK211113WUP165</t>
  </si>
  <si>
    <t>GSK211112ORM132</t>
  </si>
  <si>
    <t>GSK211113YRC906</t>
  </si>
  <si>
    <t>GSK211113VHC179</t>
  </si>
  <si>
    <t>GSK211113NQW541</t>
  </si>
  <si>
    <t>GSK211113SJF570</t>
  </si>
  <si>
    <t>GSK211112ACT907</t>
  </si>
  <si>
    <t>GSK211113VJA415</t>
  </si>
  <si>
    <t>GSK211113QFS952</t>
  </si>
  <si>
    <t>GSK211113OAC239</t>
  </si>
  <si>
    <t>GSK211113NMB350</t>
  </si>
  <si>
    <t>GSK211112TZP458</t>
  </si>
  <si>
    <t>GSK211113RVS514</t>
  </si>
  <si>
    <t>GSK211113EQH213</t>
  </si>
  <si>
    <t>GSK211113RHD087</t>
  </si>
  <si>
    <t>GSK211113WDH841</t>
  </si>
  <si>
    <t>GSK211113XID537</t>
  </si>
  <si>
    <t>GSK211113YKX815</t>
  </si>
  <si>
    <t>GSK211113GUP207</t>
  </si>
  <si>
    <t>GSK211113CJW170</t>
  </si>
  <si>
    <t>GSK211112JZR081</t>
  </si>
  <si>
    <t>GSK211112PKF082</t>
  </si>
  <si>
    <t>GSK211113YMX674</t>
  </si>
  <si>
    <t>GSK211113RBS541</t>
  </si>
  <si>
    <t>GSK211112TLB198</t>
  </si>
  <si>
    <t>GSK211113GCM310</t>
  </si>
  <si>
    <t>GSK211113UOR934</t>
  </si>
  <si>
    <t>GSK211113CAI692</t>
  </si>
  <si>
    <t>GSK211113DXW709</t>
  </si>
  <si>
    <t>GSK211113HLM975</t>
  </si>
  <si>
    <t>GSK211112CLE293</t>
  </si>
  <si>
    <t>GSK211113ESQ456</t>
  </si>
  <si>
    <t>GSK211113FNA062</t>
  </si>
  <si>
    <t>GSK211113AER749</t>
  </si>
  <si>
    <t>GSK211113DZW263</t>
  </si>
  <si>
    <t>GSK211113AYU072</t>
  </si>
  <si>
    <t>GSK211113DMI326</t>
  </si>
  <si>
    <t>DMD/2111/13/QTGU7048</t>
  </si>
  <si>
    <t>GSK211113LFZ139</t>
  </si>
  <si>
    <t>DMD/2111/13/RJPG7063</t>
  </si>
  <si>
    <t>GSK211112UVL180</t>
  </si>
  <si>
    <t>GSK211113FWB925</t>
  </si>
  <si>
    <t>GSK211113XAL809</t>
  </si>
  <si>
    <t>GSK211112HOC426</t>
  </si>
  <si>
    <t>DMD/2111/13/XIJU9814</t>
  </si>
  <si>
    <t>GSK211113IAT649</t>
  </si>
  <si>
    <t>GSK211112CNU745</t>
  </si>
  <si>
    <t>GSK211113LMR104</t>
  </si>
  <si>
    <t>GSK211113RMG362</t>
  </si>
  <si>
    <t>DMD/2111/13/KDLH5610</t>
  </si>
  <si>
    <t>GSK211113RMB138</t>
  </si>
  <si>
    <t>GSK211113CNJ317</t>
  </si>
  <si>
    <t>GSK211113ABJ105</t>
  </si>
  <si>
    <t>GSK211113AWE809</t>
  </si>
  <si>
    <t>GSK211113CWV839</t>
  </si>
  <si>
    <t>GSK211113WEU150</t>
  </si>
  <si>
    <t>GSK211113DYW836</t>
  </si>
  <si>
    <t>GSK211113VLB963</t>
  </si>
  <si>
    <t>GSK211113RUY432</t>
  </si>
  <si>
    <t>GSK211113COX154</t>
  </si>
  <si>
    <t>GSK211113SAH043</t>
  </si>
  <si>
    <t>GSK211113IHA408</t>
  </si>
  <si>
    <t>GSK211113NJO059</t>
  </si>
  <si>
    <t>GSK211113BXZ527</t>
  </si>
  <si>
    <t>GSK211113CDO342</t>
  </si>
  <si>
    <t>GSK211113PUC380</t>
  </si>
  <si>
    <t>GSK211113VAU824</t>
  </si>
  <si>
    <t>GSK211113HEM502</t>
  </si>
  <si>
    <t>GSK211113WCL602</t>
  </si>
  <si>
    <t>GSK211113IQV823</t>
  </si>
  <si>
    <t>GSK211113QYI259</t>
  </si>
  <si>
    <t>GSK211113DBN641</t>
  </si>
  <si>
    <t>DMD/2111/14/GYXA0783</t>
  </si>
  <si>
    <t>GSK211114XBJ953</t>
  </si>
  <si>
    <t>GSK211114UZI391</t>
  </si>
  <si>
    <t>11/19/2021 M. FIKRI</t>
  </si>
  <si>
    <t>DMD/2111/14/JZXV6307</t>
  </si>
  <si>
    <t>GSK211114HES197</t>
  </si>
  <si>
    <t>GSK211114ZNC732</t>
  </si>
  <si>
    <t>GSK211114QLE284</t>
  </si>
  <si>
    <t>GSK211113XQF437</t>
  </si>
  <si>
    <t>GSK211114IYR497</t>
  </si>
  <si>
    <t>GSK211114GUT098</t>
  </si>
  <si>
    <t>GSK211114MTD254</t>
  </si>
  <si>
    <t>GSK211114NUL560</t>
  </si>
  <si>
    <t>GSK211113CFL456</t>
  </si>
  <si>
    <t>GSK211114FJC921</t>
  </si>
  <si>
    <t>GSK211114XKM984</t>
  </si>
  <si>
    <t>GSK211114UHQ236</t>
  </si>
  <si>
    <t>GSK211114ONR419</t>
  </si>
  <si>
    <t>GSK211114EOX801</t>
  </si>
  <si>
    <t>GSK211114GFW567</t>
  </si>
  <si>
    <t>GSK211114XEL986</t>
  </si>
  <si>
    <t>GSK211114IJG673</t>
  </si>
  <si>
    <t>GSK211114MYZ471</t>
  </si>
  <si>
    <t>GSK211114ULS426</t>
  </si>
  <si>
    <t>GSK211113MKD531</t>
  </si>
  <si>
    <t>GSK211114HOL420</t>
  </si>
  <si>
    <t>GSK211114LJF814</t>
  </si>
  <si>
    <t>GSK211114DQR946</t>
  </si>
  <si>
    <t>GSK211114WZH239</t>
  </si>
  <si>
    <t>GSK211113PRY068</t>
  </si>
  <si>
    <t>GSK211113ZHJ047</t>
  </si>
  <si>
    <t>GSK211113RAD619</t>
  </si>
  <si>
    <t>GSK211114VMN645</t>
  </si>
  <si>
    <t>DMD/2111/14/UMIG6358</t>
  </si>
  <si>
    <t>GSK211113HOI265</t>
  </si>
  <si>
    <t>GSK211113GVC249</t>
  </si>
  <si>
    <t>GSK211114AMH831</t>
  </si>
  <si>
    <t>GSK211113MAT910</t>
  </si>
  <si>
    <t>GSK211114OSX796</t>
  </si>
  <si>
    <t>GSK211114KXC523</t>
  </si>
  <si>
    <t>DMD/2111/15/UPEB4570</t>
  </si>
  <si>
    <t>GSK211115QFO108</t>
  </si>
  <si>
    <t>GSK211115TKX817</t>
  </si>
  <si>
    <t>GSK211115BRX407</t>
  </si>
  <si>
    <t>GSK211115TXZ281</t>
  </si>
  <si>
    <t>DMD/2111/15/HKDM5032</t>
  </si>
  <si>
    <t>GSK211114BQF860</t>
  </si>
  <si>
    <t>GSK211115TCX213</t>
  </si>
  <si>
    <t>GSK211114OZC674</t>
  </si>
  <si>
    <t>GSK211115KPG039</t>
  </si>
  <si>
    <t>GSK211114FDO065</t>
  </si>
  <si>
    <t>GSK211114BWQ429</t>
  </si>
  <si>
    <t>GSK211114GTA483</t>
  </si>
  <si>
    <t>GSK211114QOD275</t>
  </si>
  <si>
    <t>GSK211114XOK961</t>
  </si>
  <si>
    <t>GSK211114MUN079</t>
  </si>
  <si>
    <t>GSK211114OTE794</t>
  </si>
  <si>
    <t>GSK211115FEM016</t>
  </si>
  <si>
    <t>GSK211114QLT721</t>
  </si>
  <si>
    <t>GSK211115HYB017</t>
  </si>
  <si>
    <t>GSK211115WRE206</t>
  </si>
  <si>
    <t>DMD/2111/15/QVJK3245</t>
  </si>
  <si>
    <t>GSK211115NSO068</t>
  </si>
  <si>
    <t>KM FAJAR BAHARI III</t>
  </si>
  <si>
    <t>DMD/2111/16/HAEU0135</t>
  </si>
  <si>
    <t>GSK211116LGO930</t>
  </si>
  <si>
    <t>GSK211116QFS073</t>
  </si>
  <si>
    <t>GSK211116KXZ780</t>
  </si>
  <si>
    <t>GSK211116MAY107</t>
  </si>
  <si>
    <t>GSK211116XQU923</t>
  </si>
  <si>
    <t>DMD/2111/16/MJYQ6839</t>
  </si>
  <si>
    <t>GSK211116YBT482</t>
  </si>
  <si>
    <t>GSK211116HSA864</t>
  </si>
  <si>
    <t>11/21/2021 RESTU</t>
  </si>
  <si>
    <t>DMD/2111/16/WSHE1826</t>
  </si>
  <si>
    <t>GSK211116ALR175</t>
  </si>
  <si>
    <t>GSK211116OVT073</t>
  </si>
  <si>
    <t>GSK211115OVA085</t>
  </si>
  <si>
    <t>GSK211116TGJ168</t>
  </si>
  <si>
    <t>GSK211114ESX168</t>
  </si>
  <si>
    <t>GSK211116UIQ980</t>
  </si>
  <si>
    <t>GSK211116DPE263</t>
  </si>
  <si>
    <t>GSK211116RKH329</t>
  </si>
  <si>
    <t>GSK211116BKN541</t>
  </si>
  <si>
    <t>GSK211116HMQ163</t>
  </si>
  <si>
    <t>GSK211116HSY863</t>
  </si>
  <si>
    <t>GSK211116SWC689</t>
  </si>
  <si>
    <t>GSK211116BVQ038</t>
  </si>
  <si>
    <t>GSK211114FXV534</t>
  </si>
  <si>
    <t>GSK211116VUK062</t>
  </si>
  <si>
    <t>GSK211116VMA104</t>
  </si>
  <si>
    <t>GSK211116PRS795</t>
  </si>
  <si>
    <t>GSK211116SET319</t>
  </si>
  <si>
    <t>GSK211116WEO742</t>
  </si>
  <si>
    <t>GSK211116AGY260</t>
  </si>
  <si>
    <t>GSK211116NGJ678</t>
  </si>
  <si>
    <t>GSK211116TIE076</t>
  </si>
  <si>
    <t>GSK211116UBI290</t>
  </si>
  <si>
    <t>GSK211116WPZ469</t>
  </si>
  <si>
    <t>GSK211116VGN925</t>
  </si>
  <si>
    <t>GSK211116PHE951</t>
  </si>
  <si>
    <t>GSK211116PIU946</t>
  </si>
  <si>
    <t>GSK211116GQA509</t>
  </si>
  <si>
    <t>DMD/2111/16/RXLG3850</t>
  </si>
  <si>
    <t>GSK211116MAY527</t>
  </si>
  <si>
    <t>GSK211116QDR390</t>
  </si>
  <si>
    <t>DMD/2111/17/DUAX0568</t>
  </si>
  <si>
    <t>GSK211116PLZ842</t>
  </si>
  <si>
    <t>GSK211117VND381</t>
  </si>
  <si>
    <t>GSK211117SED138</t>
  </si>
  <si>
    <t>DMD/2111/17/LDAX2861</t>
  </si>
  <si>
    <t>GSK211116XEG432</t>
  </si>
  <si>
    <t>GSK211117KZB038</t>
  </si>
  <si>
    <t>GSK211117PZR170</t>
  </si>
  <si>
    <t>GSK211116LFT178</t>
  </si>
  <si>
    <t>GSK211116EQR830</t>
  </si>
  <si>
    <t>GSK211116ZKN925</t>
  </si>
  <si>
    <t>GSK211116AUT072</t>
  </si>
  <si>
    <t>GSK211117ORN281</t>
  </si>
  <si>
    <t>GSK211117SUY389</t>
  </si>
  <si>
    <t>GSK211117CAI519</t>
  </si>
  <si>
    <t>GSK211117PZF173</t>
  </si>
  <si>
    <t>GSK211116RAK065</t>
  </si>
  <si>
    <t>GSK211117IKA741</t>
  </si>
  <si>
    <t>GSK211117XGC732</t>
  </si>
  <si>
    <t>GSK211116CYP345</t>
  </si>
  <si>
    <t>GSK211117VWF846</t>
  </si>
  <si>
    <t>GSK211117GCL860</t>
  </si>
  <si>
    <t>GSK211117SET539</t>
  </si>
  <si>
    <t>GSK211117MGY684</t>
  </si>
  <si>
    <t>GSK211117RIV754</t>
  </si>
  <si>
    <t>GSK211116NJS758</t>
  </si>
  <si>
    <t>GSK211115SFQ903</t>
  </si>
  <si>
    <t>GSK211117XIV392</t>
  </si>
  <si>
    <t>GSK211117SVR295</t>
  </si>
  <si>
    <t>GSK211117ENG079</t>
  </si>
  <si>
    <t>GSK211117BEQ287</t>
  </si>
  <si>
    <t>GSK211117YRU531</t>
  </si>
  <si>
    <t>GSK211117XVH653</t>
  </si>
  <si>
    <t>GSK211117ALZ345</t>
  </si>
  <si>
    <t>GSK211117UPG592</t>
  </si>
  <si>
    <t>gsk211117irm152</t>
  </si>
  <si>
    <t>GSK211117BJA093</t>
  </si>
  <si>
    <t>GSK211117BZU816</t>
  </si>
  <si>
    <t>GSK211117DKY075</t>
  </si>
  <si>
    <t>GSK211116OTG368</t>
  </si>
  <si>
    <t>GSK211117XAI986</t>
  </si>
  <si>
    <t>GSK211115SGP345</t>
  </si>
  <si>
    <t>GSK211117DRH546</t>
  </si>
  <si>
    <t>DMD/2111/17/DJPY1835</t>
  </si>
  <si>
    <t>GSK211117PXD567</t>
  </si>
  <si>
    <t>GSK211117WJA789</t>
  </si>
  <si>
    <t>GSK211117KWD985</t>
  </si>
  <si>
    <t>GSK211117QCU512</t>
  </si>
  <si>
    <t>GSK211117VHN069</t>
  </si>
  <si>
    <t>GSK211117QBA831</t>
  </si>
  <si>
    <t>GSK211117BZR453</t>
  </si>
  <si>
    <t>GSK211117IKT814</t>
  </si>
  <si>
    <t>GSK211117VAX407</t>
  </si>
  <si>
    <t>GSK211116PKH517</t>
  </si>
  <si>
    <t>GSK211117QGC769</t>
  </si>
  <si>
    <t>DMD/2111/17/AWEB5891</t>
  </si>
  <si>
    <t>GSK211117HUE096</t>
  </si>
  <si>
    <t>GSK211117SCD472</t>
  </si>
  <si>
    <t>GSK211117NOJ681</t>
  </si>
  <si>
    <t>GSK211117JGQ930</t>
  </si>
  <si>
    <t>GSK211117KHJ165</t>
  </si>
  <si>
    <t>GSK211117ASG495</t>
  </si>
  <si>
    <t>GSK211117YHA124</t>
  </si>
  <si>
    <t>GSK211117CST356</t>
  </si>
  <si>
    <t>DMD/2111/18/GQIV9862</t>
  </si>
  <si>
    <t>GSK211118MJN792</t>
  </si>
  <si>
    <t>GSK211118FEA946</t>
  </si>
  <si>
    <t>GSK211118FTU964</t>
  </si>
  <si>
    <t>GSK211118FGT427</t>
  </si>
  <si>
    <t>GSK211118KFP387</t>
  </si>
  <si>
    <t>DMD/2111/18/YMCL7215</t>
  </si>
  <si>
    <t>GSK211117YLT153</t>
  </si>
  <si>
    <t>GSK211118QHN038</t>
  </si>
  <si>
    <t>DMD/2111/18/JZFR3527</t>
  </si>
  <si>
    <t>GSK211118EQM625</t>
  </si>
  <si>
    <t>GSK211118AEL031</t>
  </si>
  <si>
    <t>GSK211117ZUK679</t>
  </si>
  <si>
    <t>GSK211118LST962</t>
  </si>
  <si>
    <t>DMD/2111/18/WSYT0612</t>
  </si>
  <si>
    <t>GSK211118OTQ651</t>
  </si>
  <si>
    <t>GSK211118NUB354</t>
  </si>
  <si>
    <t>GSK211117WKA926</t>
  </si>
  <si>
    <t>GSK211118WIJ351</t>
  </si>
  <si>
    <t>GSK211118EXH967</t>
  </si>
  <si>
    <t>GSK211118EKC142</t>
  </si>
  <si>
    <t>GSK211118VFO715</t>
  </si>
  <si>
    <t>GSK211118KHJ136</t>
  </si>
  <si>
    <t>GSK211118ZCW810</t>
  </si>
  <si>
    <t>GSK211118CIQ802</t>
  </si>
  <si>
    <t>GSK211116CJQ917</t>
  </si>
  <si>
    <t>GSK211118LSU021</t>
  </si>
  <si>
    <t>GSK211118MPN306</t>
  </si>
  <si>
    <t>GSK211118UNM130</t>
  </si>
  <si>
    <t>GSK211118SLO123</t>
  </si>
  <si>
    <t>GSK211118LOR425</t>
  </si>
  <si>
    <t>GSK211118OSH384</t>
  </si>
  <si>
    <t>GSK211118SQI462</t>
  </si>
  <si>
    <t>GSK211116UHO168</t>
  </si>
  <si>
    <t>GSK211118NMD954</t>
  </si>
  <si>
    <t>GSK211118WSC859</t>
  </si>
  <si>
    <t>GSK211118RVA857</t>
  </si>
  <si>
    <t>GSK211118RDA123</t>
  </si>
  <si>
    <t>GSK211118KGH829</t>
  </si>
  <si>
    <t>GSK211118BYC480</t>
  </si>
  <si>
    <t>GSK211116UHF890</t>
  </si>
  <si>
    <t>GSK211118EIB680</t>
  </si>
  <si>
    <t>GSK211118KNE241</t>
  </si>
  <si>
    <t>GSK211118DQE517</t>
  </si>
  <si>
    <t>GSK211116ZYH835</t>
  </si>
  <si>
    <t>GSK211117LBA103</t>
  </si>
  <si>
    <t>GSK211118HTL847</t>
  </si>
  <si>
    <t>GSK211117HUT847</t>
  </si>
  <si>
    <t>DMD/2111/18/MEUR8056</t>
  </si>
  <si>
    <t>GSK211118CHN837</t>
  </si>
  <si>
    <t>GSK211118ANP709</t>
  </si>
  <si>
    <t>GSK211117UWS170</t>
  </si>
  <si>
    <t>GSK211118PGQ923</t>
  </si>
  <si>
    <t>GSK211118NVX847</t>
  </si>
  <si>
    <t>GSK211118TSU217</t>
  </si>
  <si>
    <t>DMD/2111/18/YIOB8120</t>
  </si>
  <si>
    <t>GSK211118VFO967</t>
  </si>
  <si>
    <t>GSK211118OZE413</t>
  </si>
  <si>
    <t>DMD/2111/19/PNXI2530</t>
  </si>
  <si>
    <t>GSK211119VWB056</t>
  </si>
  <si>
    <t>GSK211118ZCX025</t>
  </si>
  <si>
    <t>11/24/2021 SAKA</t>
  </si>
  <si>
    <t>DMD/2111/19/WPQS9386</t>
  </si>
  <si>
    <t>GSK211119KPV659</t>
  </si>
  <si>
    <t>GSK211119BYP472</t>
  </si>
  <si>
    <t>DMD/2111/19/IDWY9527</t>
  </si>
  <si>
    <t>GSK211117PXT385</t>
  </si>
  <si>
    <t>GSK211118RWE258</t>
  </si>
  <si>
    <t>GSK211119RJP183</t>
  </si>
  <si>
    <t>GSK211117HIZ509</t>
  </si>
  <si>
    <t>GSK211117WQL281</t>
  </si>
  <si>
    <t>GSK211119CDS142</t>
  </si>
  <si>
    <t>GSK211118TSD397</t>
  </si>
  <si>
    <t>GSK211119SVX530</t>
  </si>
  <si>
    <t>GSK211119SYG610</t>
  </si>
  <si>
    <t>GSK211119ZQN357</t>
  </si>
  <si>
    <t>GSK211119ZJY051</t>
  </si>
  <si>
    <t>GSK211119NLB527</t>
  </si>
  <si>
    <t>GSK211119JLW124</t>
  </si>
  <si>
    <t>GSK211117OCL843</t>
  </si>
  <si>
    <t>GSK211119FOM039</t>
  </si>
  <si>
    <t>GSK211118PRA321</t>
  </si>
  <si>
    <t>GSK211119JPS713</t>
  </si>
  <si>
    <t>GSK211119BJL546</t>
  </si>
  <si>
    <t>GSK211119EAW312</t>
  </si>
  <si>
    <t>GSK211119KQW140</t>
  </si>
  <si>
    <t>GSK211118FIX786</t>
  </si>
  <si>
    <t>GSK211119DQN316</t>
  </si>
  <si>
    <t>GSK211119NRI253</t>
  </si>
  <si>
    <t>GSK211119CHL410</t>
  </si>
  <si>
    <t>GSK211119CHM601</t>
  </si>
  <si>
    <t>GSK211119XLC641</t>
  </si>
  <si>
    <t>DMD/2111/19/FBUS7539</t>
  </si>
  <si>
    <t>GSK211119CMX201</t>
  </si>
  <si>
    <t>GSK211119QUA709</t>
  </si>
  <si>
    <t>GSK211119SEP523</t>
  </si>
  <si>
    <t>GSK211119RBX914</t>
  </si>
  <si>
    <t>GSK211119DWN670</t>
  </si>
  <si>
    <t>GSK211119CYK672</t>
  </si>
  <si>
    <t>GSK211119SGW869</t>
  </si>
  <si>
    <t>GSK211119OLP628</t>
  </si>
  <si>
    <t>GSK211119SPT673</t>
  </si>
  <si>
    <t>GSK211119NCF539</t>
  </si>
  <si>
    <t>GSK211119EVY382</t>
  </si>
  <si>
    <t>GSK211119XLC014</t>
  </si>
  <si>
    <t>DMD/2111/20/OIVN5086</t>
  </si>
  <si>
    <t>GSK211120HMD478</t>
  </si>
  <si>
    <t>GSK211118LYE734</t>
  </si>
  <si>
    <t>GSK211119SMN904</t>
  </si>
  <si>
    <t>GSK211120JQW709</t>
  </si>
  <si>
    <t>GSK211120LJY275</t>
  </si>
  <si>
    <t>GSK211120XLC341</t>
  </si>
  <si>
    <t>GSK211120QEH807</t>
  </si>
  <si>
    <t>GSK211120EZJ370</t>
  </si>
  <si>
    <t>GSK211120ZPV417</t>
  </si>
  <si>
    <t>GSK211118SBU018</t>
  </si>
  <si>
    <t>GSK211119QAP829</t>
  </si>
  <si>
    <t>GSK211120GMB176</t>
  </si>
  <si>
    <t>GSK211118EHN679</t>
  </si>
  <si>
    <t>GSK211120KVO463</t>
  </si>
  <si>
    <t>GSK211120TUL819</t>
  </si>
  <si>
    <t>GSK211118FXU157</t>
  </si>
  <si>
    <t>GSK211118QSM356</t>
  </si>
  <si>
    <t>GSK211120FSJ831</t>
  </si>
  <si>
    <t>GSK211120UDP359</t>
  </si>
  <si>
    <t>GSK211119IXM869</t>
  </si>
  <si>
    <t>GSK211119QTM725</t>
  </si>
  <si>
    <t>GSK211120DVN927</t>
  </si>
  <si>
    <t>GSK211120IVR876</t>
  </si>
  <si>
    <t>GSK211120CRX450</t>
  </si>
  <si>
    <t>DMD/2111/20/ZRNV4951</t>
  </si>
  <si>
    <t>GSK211119KER681</t>
  </si>
  <si>
    <t>GSK211120OYQ291</t>
  </si>
  <si>
    <t>GSK211120OJA951</t>
  </si>
  <si>
    <t>GSK211120RDU803</t>
  </si>
  <si>
    <t>PENGIRIMAN BARANG TUJUAN BATAMM</t>
  </si>
  <si>
    <t xml:space="preserve"> 039/PCI/K1/XI/21</t>
  </si>
  <si>
    <t xml:space="preserve"> 29 November 21</t>
  </si>
  <si>
    <t>01 -20 November 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</si>
  <si>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Puluh Tujuh Juta Lima Ratus Sembilan Puluh Satu Ribu Seratus Delapan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</si>
</sst>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2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Calibri"/>
      <family val="2"/>
      <scheme val="minor"/>
    </font>
    <font>
      <u/>
      <sz val="9"/>
      <name val="Calibri"/>
      <family val="2"/>
      <scheme val="minor"/>
    </font>
    <font>
      <sz val="12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5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8" fillId="0" borderId="0" xfId="0" applyFont="1" applyBorder="1"/>
    <xf numFmtId="0" fontId="9" fillId="0" borderId="0" xfId="0" applyFont="1" applyBorder="1"/>
    <xf numFmtId="0" fontId="14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4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5" fillId="0" borderId="0" xfId="0" applyNumberFormat="1" applyFont="1"/>
    <xf numFmtId="0" fontId="15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6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0" fillId="0" borderId="1" xfId="4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" fontId="4" fillId="0" borderId="1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4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1" fillId="0" borderId="0" xfId="0" applyFont="1"/>
    <xf numFmtId="167" fontId="21" fillId="0" borderId="0" xfId="3" applyNumberFormat="1" applyFont="1" applyAlignment="1">
      <alignment horizontal="center"/>
    </xf>
    <xf numFmtId="168" fontId="21" fillId="0" borderId="0" xfId="0" quotePrefix="1" applyNumberFormat="1" applyFont="1"/>
    <xf numFmtId="167" fontId="21" fillId="0" borderId="0" xfId="3" applyNumberFormat="1" applyFont="1"/>
    <xf numFmtId="1" fontId="9" fillId="4" borderId="1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7" fontId="9" fillId="0" borderId="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67" fontId="21" fillId="0" borderId="0" xfId="3" applyNumberFormat="1" applyFont="1" applyAlignment="1">
      <alignment horizontal="left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1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5">
    <cellStyle name="Comma" xfId="1" builtinId="3"/>
    <cellStyle name="Comma [0]" xfId="2" builtinId="6"/>
    <cellStyle name="Comma 2" xfId="3"/>
    <cellStyle name="Hyperlink" xfId="4" builtinId="8"/>
    <cellStyle name="Normal" xfId="0" builtinId="0"/>
  </cellStyles>
  <dxfs count="70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70" formatCode="d\-mmm\-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70" formatCode="d\-mmm\-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333375</xdr:colOff>
      <xdr:row>75</xdr:row>
      <xdr:rowOff>182279</xdr:rowOff>
    </xdr:from>
    <xdr:to>
      <xdr:col>10</xdr:col>
      <xdr:colOff>314325</xdr:colOff>
      <xdr:row>82</xdr:row>
      <xdr:rowOff>28574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525" y="3244345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3" totalsRowShown="0" headerRowDxfId="699" dataDxfId="697" headerRowBorderDxfId="698">
  <tableColumns count="12">
    <tableColumn id="1" name="NOMOR" dataDxfId="696" dataCellStyle="Normal"/>
    <tableColumn id="3" name="TUJUAN" dataDxfId="695" dataCellStyle="Normal"/>
    <tableColumn id="16" name="Pick Up" dataDxfId="694"/>
    <tableColumn id="14" name="KAPAL" dataDxfId="693"/>
    <tableColumn id="15" name="ETD Kapal" dataDxfId="692"/>
    <tableColumn id="10" name="KETERANGAN" dataDxfId="691" dataCellStyle="Normal"/>
    <tableColumn id="5" name="P" dataDxfId="690" dataCellStyle="Normal"/>
    <tableColumn id="6" name="L" dataDxfId="689" dataCellStyle="Normal"/>
    <tableColumn id="7" name="T" dataDxfId="688" dataCellStyle="Normal"/>
    <tableColumn id="4" name="ACT KG" dataDxfId="687" dataCellStyle="Normal"/>
    <tableColumn id="8" name="KG VOLUME" dataDxfId="686" dataCellStyle="Normal"/>
    <tableColumn id="19" name="PEMBULATAN" dataDxfId="685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0" name="Table22457891011234567891011" displayName="Table22457891011234567891011" ref="C2:N47" totalsRowShown="0" headerRowDxfId="539" dataDxfId="537" headerRowBorderDxfId="538">
  <tableColumns count="12">
    <tableColumn id="1" name="NOMOR" dataDxfId="536" dataCellStyle="Normal"/>
    <tableColumn id="3" name="TUJUAN" dataDxfId="535" dataCellStyle="Normal"/>
    <tableColumn id="16" name="Pick Up" dataDxfId="534"/>
    <tableColumn id="14" name="KAPAL" dataDxfId="533"/>
    <tableColumn id="15" name="ETD Kapal" dataDxfId="532"/>
    <tableColumn id="10" name="KETERANGAN" dataDxfId="531" dataCellStyle="Normal"/>
    <tableColumn id="5" name="P" dataDxfId="530" dataCellStyle="Normal"/>
    <tableColumn id="6" name="L" dataDxfId="529" dataCellStyle="Normal"/>
    <tableColumn id="7" name="T" dataDxfId="528" dataCellStyle="Normal"/>
    <tableColumn id="4" name="ACT KG" dataDxfId="527" dataCellStyle="Normal"/>
    <tableColumn id="8" name="KG VOLUME" dataDxfId="526" dataCellStyle="Normal"/>
    <tableColumn id="19" name="PEMBULATAN" dataDxfId="525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1" name="Table2245789101123456789101112" displayName="Table2245789101123456789101112" ref="C2:N8" totalsRowShown="0" headerRowDxfId="522" dataDxfId="520" headerRowBorderDxfId="521">
  <tableColumns count="12">
    <tableColumn id="1" name="NOMOR" dataDxfId="519" dataCellStyle="Normal"/>
    <tableColumn id="3" name="TUJUAN" dataDxfId="518" dataCellStyle="Normal"/>
    <tableColumn id="16" name="Pick Up" dataDxfId="517"/>
    <tableColumn id="14" name="KAPAL" dataDxfId="516"/>
    <tableColumn id="15" name="ETD Kapal" dataDxfId="515"/>
    <tableColumn id="10" name="KETERANGAN" dataDxfId="514" dataCellStyle="Normal"/>
    <tableColumn id="5" name="P" dataDxfId="513" dataCellStyle="Normal"/>
    <tableColumn id="6" name="L" dataDxfId="512" dataCellStyle="Normal"/>
    <tableColumn id="7" name="T" dataDxfId="511" dataCellStyle="Normal"/>
    <tableColumn id="4" name="ACT KG" dataDxfId="510" dataCellStyle="Normal"/>
    <tableColumn id="8" name="KG VOLUME" dataDxfId="509" dataCellStyle="Normal"/>
    <tableColumn id="19" name="PEMBULATAN" dataDxfId="508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2" name="Table224578910112345678910111213" displayName="Table224578910112345678910111213" ref="C2:N40" totalsRowShown="0" headerRowDxfId="504" dataDxfId="502" headerRowBorderDxfId="503">
  <tableColumns count="12">
    <tableColumn id="1" name="NOMOR" dataDxfId="501" dataCellStyle="Normal"/>
    <tableColumn id="3" name="TUJUAN" dataDxfId="500" dataCellStyle="Normal"/>
    <tableColumn id="16" name="Pick Up" dataDxfId="499"/>
    <tableColumn id="14" name="KAPAL" dataDxfId="498"/>
    <tableColumn id="15" name="ETD Kapal" dataDxfId="497"/>
    <tableColumn id="10" name="KETERANGAN" dataDxfId="496" dataCellStyle="Normal"/>
    <tableColumn id="5" name="P" dataDxfId="495" dataCellStyle="Normal"/>
    <tableColumn id="6" name="L" dataDxfId="494" dataCellStyle="Normal"/>
    <tableColumn id="7" name="T" dataDxfId="493" dataCellStyle="Normal"/>
    <tableColumn id="4" name="ACT KG" dataDxfId="492" dataCellStyle="Normal"/>
    <tableColumn id="8" name="KG VOLUME" dataDxfId="491" dataCellStyle="Normal"/>
    <tableColumn id="19" name="PEMBULATAN" dataDxfId="490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3" name="Table22457891011234567891011121314" displayName="Table22457891011234567891011121314" ref="C2:N15" totalsRowShown="0" headerRowDxfId="488" dataDxfId="486" headerRowBorderDxfId="487">
  <tableColumns count="12">
    <tableColumn id="1" name="NOMOR" dataDxfId="485" dataCellStyle="Normal"/>
    <tableColumn id="3" name="TUJUAN" dataDxfId="484" dataCellStyle="Normal"/>
    <tableColumn id="16" name="Pick Up" dataDxfId="483"/>
    <tableColumn id="14" name="KAPAL" dataDxfId="482"/>
    <tableColumn id="15" name="ETD Kapal" dataDxfId="481"/>
    <tableColumn id="10" name="KETERANGAN" dataDxfId="480" dataCellStyle="Normal"/>
    <tableColumn id="5" name="P" dataDxfId="479" dataCellStyle="Normal"/>
    <tableColumn id="6" name="L" dataDxfId="478" dataCellStyle="Normal"/>
    <tableColumn id="7" name="T" dataDxfId="477" dataCellStyle="Normal"/>
    <tableColumn id="4" name="ACT KG" dataDxfId="476" dataCellStyle="Normal"/>
    <tableColumn id="8" name="KG VOLUME" dataDxfId="475" dataCellStyle="Normal"/>
    <tableColumn id="19" name="PEMBULATAN" dataDxfId="474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4" name="Table2245789101123456789101112131415" displayName="Table2245789101123456789101112131415" ref="C2:N14" totalsRowShown="0" headerRowDxfId="470" dataDxfId="468" headerRowBorderDxfId="469">
  <tableColumns count="12">
    <tableColumn id="1" name="NOMOR" dataDxfId="467" dataCellStyle="Normal"/>
    <tableColumn id="3" name="TUJUAN" dataDxfId="466" dataCellStyle="Normal"/>
    <tableColumn id="16" name="Pick Up" dataDxfId="465"/>
    <tableColumn id="14" name="KAPAL" dataDxfId="464"/>
    <tableColumn id="15" name="ETD Kapal" dataDxfId="463"/>
    <tableColumn id="10" name="KETERANGAN" dataDxfId="462" dataCellStyle="Normal"/>
    <tableColumn id="5" name="P" dataDxfId="461" dataCellStyle="Normal"/>
    <tableColumn id="6" name="L" dataDxfId="460" dataCellStyle="Normal"/>
    <tableColumn id="7" name="T" dataDxfId="459" dataCellStyle="Normal"/>
    <tableColumn id="4" name="ACT KG" dataDxfId="458" dataCellStyle="Normal"/>
    <tableColumn id="8" name="KG VOLUME" dataDxfId="457" dataCellStyle="Normal"/>
    <tableColumn id="19" name="PEMBULATAN" dataDxfId="456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5" name="Table224578910112345678910111213141516" displayName="Table224578910112345678910111213141516" ref="C2:N4" totalsRowShown="0" headerRowDxfId="453" dataDxfId="451" headerRowBorderDxfId="452">
  <tableColumns count="12">
    <tableColumn id="1" name="NOMOR" dataDxfId="450" dataCellStyle="Normal"/>
    <tableColumn id="3" name="TUJUAN" dataDxfId="449" dataCellStyle="Normal"/>
    <tableColumn id="16" name="Pick Up" dataDxfId="448"/>
    <tableColumn id="14" name="KAPAL" dataDxfId="447"/>
    <tableColumn id="15" name="ETD Kapal" dataDxfId="446"/>
    <tableColumn id="10" name="KETERANGAN" dataDxfId="445" dataCellStyle="Normal"/>
    <tableColumn id="5" name="P" dataDxfId="444" dataCellStyle="Normal"/>
    <tableColumn id="6" name="L" dataDxfId="443" dataCellStyle="Normal"/>
    <tableColumn id="7" name="T" dataDxfId="442" dataCellStyle="Normal"/>
    <tableColumn id="4" name="ACT KG" dataDxfId="441" dataCellStyle="Normal"/>
    <tableColumn id="8" name="KG VOLUME" dataDxfId="440" dataCellStyle="Normal"/>
    <tableColumn id="19" name="PEMBULATAN" dataDxfId="439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6" name="Table22457891011234567891011121314151617" displayName="Table22457891011234567891011121314151617" ref="C2:N15" totalsRowShown="0" headerRowDxfId="435" dataDxfId="433" headerRowBorderDxfId="434">
  <tableColumns count="12">
    <tableColumn id="1" name="NOMOR" dataDxfId="432" dataCellStyle="Normal"/>
    <tableColumn id="3" name="TUJUAN" dataDxfId="431" dataCellStyle="Normal"/>
    <tableColumn id="16" name="Pick Up" dataDxfId="430"/>
    <tableColumn id="14" name="KAPAL" dataDxfId="429"/>
    <tableColumn id="15" name="ETD Kapal" dataDxfId="428"/>
    <tableColumn id="10" name="KETERANGAN" dataDxfId="427" dataCellStyle="Normal"/>
    <tableColumn id="5" name="P" dataDxfId="426" dataCellStyle="Normal"/>
    <tableColumn id="6" name="L" dataDxfId="425" dataCellStyle="Normal"/>
    <tableColumn id="7" name="T" dataDxfId="424" dataCellStyle="Normal"/>
    <tableColumn id="4" name="ACT KG" dataDxfId="423" dataCellStyle="Normal"/>
    <tableColumn id="8" name="KG VOLUME" dataDxfId="422" dataCellStyle="Normal"/>
    <tableColumn id="19" name="PEMBULATAN" dataDxfId="421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7" name="Table2245789101123456789101112131415161718" displayName="Table2245789101123456789101112131415161718" ref="C2:N8" totalsRowShown="0" headerRowDxfId="417" dataDxfId="415" headerRowBorderDxfId="416">
  <tableColumns count="12">
    <tableColumn id="1" name="NOMOR" dataDxfId="414" dataCellStyle="Normal"/>
    <tableColumn id="3" name="TUJUAN" dataDxfId="413" dataCellStyle="Normal"/>
    <tableColumn id="16" name="Pick Up" dataDxfId="412"/>
    <tableColumn id="14" name="KAPAL" dataDxfId="411"/>
    <tableColumn id="15" name="ETD Kapal" dataDxfId="410"/>
    <tableColumn id="10" name="KETERANGAN" dataDxfId="409" dataCellStyle="Normal"/>
    <tableColumn id="5" name="P" dataDxfId="408" dataCellStyle="Normal"/>
    <tableColumn id="6" name="L" dataDxfId="407" dataCellStyle="Normal"/>
    <tableColumn id="7" name="T" dataDxfId="406" dataCellStyle="Normal"/>
    <tableColumn id="4" name="ACT KG" dataDxfId="405" dataCellStyle="Normal"/>
    <tableColumn id="8" name="KG VOLUME" dataDxfId="404" dataCellStyle="Normal"/>
    <tableColumn id="19" name="PEMBULATAN" dataDxfId="403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8" name="Table224578910112345678910111213141516171819" displayName="Table224578910112345678910111213141516171819" ref="C2:N29" totalsRowShown="0" headerRowDxfId="399" dataDxfId="397" headerRowBorderDxfId="398">
  <tableColumns count="12">
    <tableColumn id="1" name="NOMOR" dataDxfId="396" dataCellStyle="Normal"/>
    <tableColumn id="3" name="TUJUAN" dataDxfId="395" dataCellStyle="Normal"/>
    <tableColumn id="16" name="Pick Up" dataDxfId="394"/>
    <tableColumn id="14" name="KAPAL" dataDxfId="393"/>
    <tableColumn id="15" name="ETD Kapal" dataDxfId="392"/>
    <tableColumn id="10" name="KETERANGAN" dataDxfId="391" dataCellStyle="Normal"/>
    <tableColumn id="5" name="P" dataDxfId="390" dataCellStyle="Normal"/>
    <tableColumn id="6" name="L" dataDxfId="389" dataCellStyle="Normal"/>
    <tableColumn id="7" name="T" dataDxfId="388" dataCellStyle="Normal"/>
    <tableColumn id="4" name="ACT KG" dataDxfId="387" dataCellStyle="Normal"/>
    <tableColumn id="8" name="KG VOLUME" dataDxfId="386" dataCellStyle="Normal"/>
    <tableColumn id="19" name="PEMBULATAN" dataDxfId="385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19" name="Table22457891011234567891011121314151617181920" displayName="Table22457891011234567891011121314151617181920" ref="C2:N7" totalsRowShown="0" headerRowDxfId="380" dataDxfId="378" headerRowBorderDxfId="379">
  <tableColumns count="12">
    <tableColumn id="1" name="NOMOR" dataDxfId="377" dataCellStyle="Normal"/>
    <tableColumn id="3" name="TUJUAN" dataDxfId="376" dataCellStyle="Normal"/>
    <tableColumn id="16" name="Pick Up" dataDxfId="375"/>
    <tableColumn id="14" name="KAPAL" dataDxfId="374"/>
    <tableColumn id="15" name="ETD Kapal" dataDxfId="373"/>
    <tableColumn id="10" name="KETERANGAN" dataDxfId="372" dataCellStyle="Normal"/>
    <tableColumn id="5" name="P" dataDxfId="371" dataCellStyle="Normal"/>
    <tableColumn id="6" name="L" dataDxfId="370" dataCellStyle="Normal"/>
    <tableColumn id="7" name="T" dataDxfId="369" dataCellStyle="Normal"/>
    <tableColumn id="4" name="ACT KG" dataDxfId="368" dataCellStyle="Normal"/>
    <tableColumn id="8" name="KG VOLUME" dataDxfId="367" dataCellStyle="Normal"/>
    <tableColumn id="19" name="PEMBULATAN" dataDxfId="366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10" totalsRowShown="0" headerRowDxfId="681" dataDxfId="679" headerRowBorderDxfId="680">
  <tableColumns count="12">
    <tableColumn id="1" name="NOMOR" dataDxfId="678" dataCellStyle="Normal"/>
    <tableColumn id="3" name="TUJUAN" dataDxfId="677" dataCellStyle="Normal"/>
    <tableColumn id="16" name="Pick Up" dataDxfId="676"/>
    <tableColumn id="14" name="KAPAL" dataDxfId="675"/>
    <tableColumn id="15" name="ETD Kapal" dataDxfId="674"/>
    <tableColumn id="10" name="KETERANGAN" dataDxfId="673" dataCellStyle="Normal"/>
    <tableColumn id="5" name="P" dataDxfId="672" dataCellStyle="Normal"/>
    <tableColumn id="6" name="L" dataDxfId="671" dataCellStyle="Normal"/>
    <tableColumn id="7" name="T" dataDxfId="670" dataCellStyle="Normal"/>
    <tableColumn id="4" name="ACT KG" dataDxfId="669" dataCellStyle="Normal"/>
    <tableColumn id="8" name="KG VOLUME" dataDxfId="668" dataCellStyle="Normal"/>
    <tableColumn id="19" name="PEMBULATAN" dataDxfId="667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20" name="Table2245789101123456789101112131415161718192021" displayName="Table2245789101123456789101112131415161718192021" ref="C2:N22" totalsRowShown="0" headerRowDxfId="363" dataDxfId="361" headerRowBorderDxfId="362">
  <tableColumns count="12">
    <tableColumn id="1" name="NOMOR" dataDxfId="360" dataCellStyle="Normal"/>
    <tableColumn id="3" name="TUJUAN" dataDxfId="359" dataCellStyle="Normal"/>
    <tableColumn id="16" name="Pick Up" dataDxfId="358"/>
    <tableColumn id="14" name="KAPAL" dataDxfId="357"/>
    <tableColumn id="15" name="ETD Kapal" dataDxfId="356"/>
    <tableColumn id="10" name="KETERANGAN" dataDxfId="355" dataCellStyle="Normal"/>
    <tableColumn id="5" name="P" dataDxfId="354" dataCellStyle="Normal"/>
    <tableColumn id="6" name="L" dataDxfId="353" dataCellStyle="Normal"/>
    <tableColumn id="7" name="T" dataDxfId="352" dataCellStyle="Normal"/>
    <tableColumn id="4" name="ACT KG" dataDxfId="351" dataCellStyle="Normal"/>
    <tableColumn id="8" name="KG VOLUME" dataDxfId="350" dataCellStyle="Normal"/>
    <tableColumn id="19" name="PEMBULATAN" dataDxfId="349"/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id="21" name="Table224578910112345678910111213141516171819202122" displayName="Table224578910112345678910111213141516171819202122" ref="C2:N3" totalsRowShown="0" headerRowDxfId="347" dataDxfId="345" headerRowBorderDxfId="346">
  <tableColumns count="12">
    <tableColumn id="1" name="NOMOR" dataDxfId="344" dataCellStyle="Normal"/>
    <tableColumn id="3" name="TUJUAN" dataDxfId="343" dataCellStyle="Normal"/>
    <tableColumn id="16" name="Pick Up" dataDxfId="342"/>
    <tableColumn id="14" name="KAPAL" dataDxfId="341"/>
    <tableColumn id="15" name="ETD Kapal" dataDxfId="340"/>
    <tableColumn id="10" name="KETERANGAN" dataDxfId="339" dataCellStyle="Normal"/>
    <tableColumn id="5" name="P" dataDxfId="338" dataCellStyle="Normal"/>
    <tableColumn id="6" name="L" dataDxfId="337" dataCellStyle="Normal"/>
    <tableColumn id="7" name="T" dataDxfId="336" dataCellStyle="Normal"/>
    <tableColumn id="4" name="ACT KG" dataDxfId="335" dataCellStyle="Normal"/>
    <tableColumn id="8" name="KG VOLUME" dataDxfId="334" dataCellStyle="Normal"/>
    <tableColumn id="19" name="PEMBULATAN" dataDxfId="333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id="22" name="Table22457891011234567891011121314151617181920212223" displayName="Table22457891011234567891011121314151617181920212223" ref="C2:N28" totalsRowShown="0" headerRowDxfId="330" dataDxfId="328" headerRowBorderDxfId="329">
  <tableColumns count="12">
    <tableColumn id="1" name="NOMOR" dataDxfId="327" dataCellStyle="Normal"/>
    <tableColumn id="3" name="TUJUAN" dataDxfId="326" dataCellStyle="Normal"/>
    <tableColumn id="16" name="Pick Up" dataDxfId="325"/>
    <tableColumn id="14" name="KAPAL" dataDxfId="324"/>
    <tableColumn id="15" name="ETD Kapal" dataDxfId="323"/>
    <tableColumn id="10" name="KETERANGAN" dataDxfId="322" dataCellStyle="Normal"/>
    <tableColumn id="5" name="P" dataDxfId="321" dataCellStyle="Normal"/>
    <tableColumn id="6" name="L" dataDxfId="320" dataCellStyle="Normal"/>
    <tableColumn id="7" name="T" dataDxfId="319" dataCellStyle="Normal"/>
    <tableColumn id="4" name="ACT KG" dataDxfId="318" dataCellStyle="Normal"/>
    <tableColumn id="8" name="KG VOLUME" dataDxfId="317" dataCellStyle="Normal"/>
    <tableColumn id="19" name="PEMBULATAN" dataDxfId="316"/>
  </tableColumns>
  <tableStyleInfo name="Table Style 1" showFirstColumn="0" showLastColumn="0" showRowStripes="1" showColumnStripes="0"/>
</table>
</file>

<file path=xl/tables/table23.xml><?xml version="1.0" encoding="utf-8"?>
<table xmlns="http://schemas.openxmlformats.org/spreadsheetml/2006/main" id="23" name="Table2245789101123456789101112131415161718192021222324" displayName="Table2245789101123456789101112131415161718192021222324" ref="C2:N5" totalsRowShown="0" headerRowDxfId="314" dataDxfId="312" headerRowBorderDxfId="313">
  <tableColumns count="12">
    <tableColumn id="1" name="NOMOR" dataDxfId="311" dataCellStyle="Normal"/>
    <tableColumn id="3" name="TUJUAN" dataDxfId="310" dataCellStyle="Normal"/>
    <tableColumn id="16" name="Pick Up" dataDxfId="309"/>
    <tableColumn id="14" name="KAPAL" dataDxfId="308"/>
    <tableColumn id="15" name="ETD Kapal" dataDxfId="307"/>
    <tableColumn id="10" name="KETERANGAN" dataDxfId="306" dataCellStyle="Normal"/>
    <tableColumn id="5" name="P" dataDxfId="305" dataCellStyle="Normal"/>
    <tableColumn id="6" name="L" dataDxfId="304" dataCellStyle="Normal"/>
    <tableColumn id="7" name="T" dataDxfId="303" dataCellStyle="Normal"/>
    <tableColumn id="4" name="ACT KG" dataDxfId="302" dataCellStyle="Normal"/>
    <tableColumn id="8" name="KG VOLUME" dataDxfId="301" dataCellStyle="Normal"/>
    <tableColumn id="19" name="PEMBULATAN" dataDxfId="300"/>
  </tableColumns>
  <tableStyleInfo name="Table Style 1" showFirstColumn="0" showLastColumn="0" showRowStripes="1" showColumnStripes="0"/>
</table>
</file>

<file path=xl/tables/table24.xml><?xml version="1.0" encoding="utf-8"?>
<table xmlns="http://schemas.openxmlformats.org/spreadsheetml/2006/main" id="24" name="Table224578910112345678910111213141516171819202122232425" displayName="Table224578910112345678910111213141516171819202122232425" ref="C2:N43" totalsRowShown="0" headerRowDxfId="291" dataDxfId="289" headerRowBorderDxfId="290">
  <tableColumns count="12">
    <tableColumn id="1" name="NOMOR" dataDxfId="288" dataCellStyle="Normal"/>
    <tableColumn id="3" name="TUJUAN" dataDxfId="287" dataCellStyle="Normal"/>
    <tableColumn id="16" name="Pick Up" dataDxfId="286"/>
    <tableColumn id="14" name="KAPAL" dataDxfId="285"/>
    <tableColumn id="15" name="ETD Kapal" dataDxfId="284"/>
    <tableColumn id="10" name="KETERANGAN" dataDxfId="283" dataCellStyle="Normal"/>
    <tableColumn id="5" name="P" dataDxfId="282" dataCellStyle="Normal"/>
    <tableColumn id="6" name="L" dataDxfId="281" dataCellStyle="Normal"/>
    <tableColumn id="7" name="T" dataDxfId="280" dataCellStyle="Normal"/>
    <tableColumn id="4" name="ACT KG" dataDxfId="279" dataCellStyle="Normal"/>
    <tableColumn id="8" name="KG VOLUME" dataDxfId="278" dataCellStyle="Normal"/>
    <tableColumn id="19" name="PEMBULATAN" dataDxfId="277"/>
  </tableColumns>
  <tableStyleInfo name="Table Style 1" showFirstColumn="0" showLastColumn="0" showRowStripes="1" showColumnStripes="0"/>
</table>
</file>

<file path=xl/tables/table25.xml><?xml version="1.0" encoding="utf-8"?>
<table xmlns="http://schemas.openxmlformats.org/spreadsheetml/2006/main" id="25" name="Table22457891011234567891011121314151617181920212223242526" displayName="Table22457891011234567891011121314151617181920212223242526" ref="C2:N9" totalsRowShown="0" headerRowDxfId="274" dataDxfId="272" headerRowBorderDxfId="273">
  <tableColumns count="12">
    <tableColumn id="1" name="NOMOR" dataDxfId="271" dataCellStyle="Normal"/>
    <tableColumn id="3" name="TUJUAN" dataDxfId="270" dataCellStyle="Normal"/>
    <tableColumn id="16" name="Pick Up" dataDxfId="269"/>
    <tableColumn id="14" name="KAPAL" dataDxfId="268"/>
    <tableColumn id="15" name="ETD Kapal" dataDxfId="267"/>
    <tableColumn id="10" name="KETERANGAN" dataDxfId="266" dataCellStyle="Normal"/>
    <tableColumn id="5" name="P" dataDxfId="265" dataCellStyle="Normal"/>
    <tableColumn id="6" name="L" dataDxfId="264" dataCellStyle="Normal"/>
    <tableColumn id="7" name="T" dataDxfId="263" dataCellStyle="Normal"/>
    <tableColumn id="4" name="ACT KG" dataDxfId="262" dataCellStyle="Normal"/>
    <tableColumn id="8" name="KG VOLUME" dataDxfId="261" dataCellStyle="Normal"/>
    <tableColumn id="19" name="PEMBULATAN" dataDxfId="260"/>
  </tableColumns>
  <tableStyleInfo name="Table Style 1" showFirstColumn="0" showLastColumn="0" showRowStripes="1" showColumnStripes="0"/>
</table>
</file>

<file path=xl/tables/table26.xml><?xml version="1.0" encoding="utf-8"?>
<table xmlns="http://schemas.openxmlformats.org/spreadsheetml/2006/main" id="26" name="Table2245789101123456789101112131415161718192021222324252627" displayName="Table2245789101123456789101112131415161718192021222324252627" ref="C2:N8" totalsRowShown="0" headerRowDxfId="257" dataDxfId="255" headerRowBorderDxfId="256">
  <tableColumns count="12">
    <tableColumn id="1" name="NOMOR" dataDxfId="254" dataCellStyle="Normal"/>
    <tableColumn id="3" name="TUJUAN" dataDxfId="253" dataCellStyle="Normal"/>
    <tableColumn id="16" name="Pick Up" dataDxfId="252"/>
    <tableColumn id="14" name="KAPAL" dataDxfId="251"/>
    <tableColumn id="15" name="ETD Kapal" dataDxfId="250"/>
    <tableColumn id="10" name="KETERANGAN" dataDxfId="249" dataCellStyle="Normal"/>
    <tableColumn id="5" name="P" dataDxfId="248" dataCellStyle="Normal"/>
    <tableColumn id="6" name="L" dataDxfId="247" dataCellStyle="Normal"/>
    <tableColumn id="7" name="T" dataDxfId="246" dataCellStyle="Normal"/>
    <tableColumn id="4" name="ACT KG" dataDxfId="245" dataCellStyle="Normal"/>
    <tableColumn id="8" name="KG VOLUME" dataDxfId="244" dataCellStyle="Normal"/>
    <tableColumn id="19" name="PEMBULATAN" dataDxfId="243"/>
  </tableColumns>
  <tableStyleInfo name="Table Style 1" showFirstColumn="0" showLastColumn="0" showRowStripes="1" showColumnStripes="0"/>
</table>
</file>

<file path=xl/tables/table27.xml><?xml version="1.0" encoding="utf-8"?>
<table xmlns="http://schemas.openxmlformats.org/spreadsheetml/2006/main" id="27" name="Table224578910112345678910111213141516171819202122232425262728" displayName="Table224578910112345678910111213141516171819202122232425262728" ref="C2:N48" totalsRowShown="0" headerRowDxfId="239" dataDxfId="237" headerRowBorderDxfId="238">
  <tableColumns count="12">
    <tableColumn id="1" name="NOMOR" dataDxfId="236" dataCellStyle="Normal"/>
    <tableColumn id="3" name="TUJUAN" dataDxfId="235" dataCellStyle="Normal"/>
    <tableColumn id="16" name="Pick Up" dataDxfId="234"/>
    <tableColumn id="14" name="KAPAL" dataDxfId="233"/>
    <tableColumn id="15" name="ETD Kapal" dataDxfId="232"/>
    <tableColumn id="10" name="KETERANGAN" dataDxfId="231" dataCellStyle="Normal"/>
    <tableColumn id="5" name="P" dataDxfId="230" dataCellStyle="Normal"/>
    <tableColumn id="6" name="L" dataDxfId="229" dataCellStyle="Normal"/>
    <tableColumn id="7" name="T" dataDxfId="228" dataCellStyle="Normal"/>
    <tableColumn id="4" name="ACT KG" dataDxfId="227" dataCellStyle="Normal"/>
    <tableColumn id="8" name="KG VOLUME" dataDxfId="226" dataCellStyle="Normal"/>
    <tableColumn id="19" name="PEMBULATAN" dataDxfId="225"/>
  </tableColumns>
  <tableStyleInfo name="Table Style 1" showFirstColumn="0" showLastColumn="0" showRowStripes="1" showColumnStripes="0"/>
</table>
</file>

<file path=xl/tables/table28.xml><?xml version="1.0" encoding="utf-8"?>
<table xmlns="http://schemas.openxmlformats.org/spreadsheetml/2006/main" id="28" name="Table22457891011234567891011121314151617181920212223242526272829" displayName="Table22457891011234567891011121314151617181920212223242526272829" ref="C2:N28" totalsRowShown="0" headerRowDxfId="222" dataDxfId="220" headerRowBorderDxfId="221">
  <tableColumns count="12">
    <tableColumn id="1" name="NOMOR" dataDxfId="219" dataCellStyle="Normal"/>
    <tableColumn id="3" name="TUJUAN" dataDxfId="218" dataCellStyle="Normal"/>
    <tableColumn id="16" name="Pick Up" dataDxfId="217"/>
    <tableColumn id="14" name="KAPAL" dataDxfId="216"/>
    <tableColumn id="15" name="ETD Kapal" dataDxfId="215"/>
    <tableColumn id="10" name="KETERANGAN" dataDxfId="214" dataCellStyle="Normal"/>
    <tableColumn id="5" name="P" dataDxfId="213" dataCellStyle="Normal"/>
    <tableColumn id="6" name="L" dataDxfId="212" dataCellStyle="Normal"/>
    <tableColumn id="7" name="T" dataDxfId="211" dataCellStyle="Normal"/>
    <tableColumn id="4" name="ACT KG" dataDxfId="210" dataCellStyle="Normal"/>
    <tableColumn id="8" name="KG VOLUME" dataDxfId="209" dataCellStyle="Normal"/>
    <tableColumn id="19" name="PEMBULATAN" dataDxfId="208"/>
  </tableColumns>
  <tableStyleInfo name="Table Style 1" showFirstColumn="0" showLastColumn="0" showRowStripes="1" showColumnStripes="0"/>
</table>
</file>

<file path=xl/tables/table29.xml><?xml version="1.0" encoding="utf-8"?>
<table xmlns="http://schemas.openxmlformats.org/spreadsheetml/2006/main" id="29" name="Table2245789101123456789101112131415161718192021222324252627282930" displayName="Table2245789101123456789101112131415161718192021222324252627282930" ref="C2:N4" totalsRowShown="0" headerRowDxfId="206" dataDxfId="204" headerRowBorderDxfId="205">
  <tableColumns count="12">
    <tableColumn id="1" name="NOMOR" dataDxfId="203" dataCellStyle="Normal"/>
    <tableColumn id="3" name="TUJUAN" dataDxfId="202" dataCellStyle="Normal"/>
    <tableColumn id="16" name="Pick Up" dataDxfId="201"/>
    <tableColumn id="14" name="KAPAL" dataDxfId="200"/>
    <tableColumn id="15" name="ETD Kapal" dataDxfId="199"/>
    <tableColumn id="10" name="KETERANGAN" dataDxfId="198" dataCellStyle="Normal"/>
    <tableColumn id="5" name="P" dataDxfId="197" dataCellStyle="Normal"/>
    <tableColumn id="6" name="L" dataDxfId="196" dataCellStyle="Normal"/>
    <tableColumn id="7" name="T" dataDxfId="195" dataCellStyle="Normal"/>
    <tableColumn id="4" name="ACT KG" dataDxfId="194" dataCellStyle="Normal"/>
    <tableColumn id="8" name="KG VOLUME" dataDxfId="193" dataCellStyle="Normal"/>
    <tableColumn id="19" name="PEMBULATAN" dataDxfId="192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7891011234" displayName="Table22457891011234" ref="C2:N24" totalsRowShown="0" headerRowDxfId="663" dataDxfId="661" headerRowBorderDxfId="662">
  <tableColumns count="12">
    <tableColumn id="1" name="NOMOR" dataDxfId="660" dataCellStyle="Normal"/>
    <tableColumn id="3" name="TUJUAN" dataDxfId="659" dataCellStyle="Normal"/>
    <tableColumn id="16" name="Pick Up" dataDxfId="658"/>
    <tableColumn id="14" name="KAPAL" dataDxfId="657"/>
    <tableColumn id="15" name="ETD Kapal" dataDxfId="656"/>
    <tableColumn id="10" name="KETERANGAN" dataDxfId="655" dataCellStyle="Normal"/>
    <tableColumn id="5" name="P" dataDxfId="654" dataCellStyle="Normal"/>
    <tableColumn id="6" name="L" dataDxfId="653" dataCellStyle="Normal"/>
    <tableColumn id="7" name="T" dataDxfId="652" dataCellStyle="Normal"/>
    <tableColumn id="4" name="ACT KG" dataDxfId="651" dataCellStyle="Normal"/>
    <tableColumn id="8" name="KG VOLUME" dataDxfId="650" dataCellStyle="Normal"/>
    <tableColumn id="19" name="PEMBULATAN" dataDxfId="649"/>
  </tableColumns>
  <tableStyleInfo name="Table Style 1" showFirstColumn="0" showLastColumn="0" showRowStripes="1" showColumnStripes="0"/>
</table>
</file>

<file path=xl/tables/table30.xml><?xml version="1.0" encoding="utf-8"?>
<table xmlns="http://schemas.openxmlformats.org/spreadsheetml/2006/main" id="30" name="Table224578910112345678910111213141516171819202122232425262728293031" displayName="Table224578910112345678910111213141516171819202122232425262728293031" ref="C2:N36" totalsRowShown="0" headerRowDxfId="190" dataDxfId="188" headerRowBorderDxfId="189">
  <tableColumns count="12">
    <tableColumn id="1" name="NOMOR" dataDxfId="187" dataCellStyle="Normal"/>
    <tableColumn id="3" name="TUJUAN" dataDxfId="186" dataCellStyle="Normal"/>
    <tableColumn id="16" name="Pick Up" dataDxfId="185"/>
    <tableColumn id="14" name="KAPAL" dataDxfId="184"/>
    <tableColumn id="15" name="ETD Kapal" dataDxfId="183"/>
    <tableColumn id="10" name="KETERANGAN" dataDxfId="182" dataCellStyle="Normal"/>
    <tableColumn id="5" name="P" dataDxfId="181" dataCellStyle="Normal"/>
    <tableColumn id="6" name="L" dataDxfId="180" dataCellStyle="Normal"/>
    <tableColumn id="7" name="T" dataDxfId="179" dataCellStyle="Normal"/>
    <tableColumn id="4" name="ACT KG" dataDxfId="178" dataCellStyle="Normal"/>
    <tableColumn id="8" name="KG VOLUME" dataDxfId="177" dataCellStyle="Normal"/>
    <tableColumn id="19" name="PEMBULATAN" dataDxfId="176"/>
  </tableColumns>
  <tableStyleInfo name="Table Style 1" showFirstColumn="0" showLastColumn="0" showRowStripes="1" showColumnStripes="0"/>
</table>
</file>

<file path=xl/tables/table31.xml><?xml version="1.0" encoding="utf-8"?>
<table xmlns="http://schemas.openxmlformats.org/spreadsheetml/2006/main" id="31" name="Table22457891011234567891011121314151617181920212223242526272829303132" displayName="Table22457891011234567891011121314151617181920212223242526272829303132" ref="C2:N6" totalsRowShown="0" headerRowDxfId="174" dataDxfId="172" headerRowBorderDxfId="173">
  <tableColumns count="12">
    <tableColumn id="1" name="NOMOR" dataDxfId="171" dataCellStyle="Normal"/>
    <tableColumn id="3" name="TUJUAN" dataDxfId="170" dataCellStyle="Normal"/>
    <tableColumn id="16" name="Pick Up" dataDxfId="169"/>
    <tableColumn id="14" name="KAPAL" dataDxfId="168"/>
    <tableColumn id="15" name="ETD Kapal" dataDxfId="167"/>
    <tableColumn id="10" name="KETERANGAN" dataDxfId="166" dataCellStyle="Normal"/>
    <tableColumn id="5" name="P" dataDxfId="165" dataCellStyle="Normal"/>
    <tableColumn id="6" name="L" dataDxfId="164" dataCellStyle="Normal"/>
    <tableColumn id="7" name="T" dataDxfId="163" dataCellStyle="Normal"/>
    <tableColumn id="4" name="ACT KG" dataDxfId="162" dataCellStyle="Normal"/>
    <tableColumn id="8" name="KG VOLUME" dataDxfId="161" dataCellStyle="Normal"/>
    <tableColumn id="19" name="PEMBULATAN" dataDxfId="160"/>
  </tableColumns>
  <tableStyleInfo name="Table Style 1" showFirstColumn="0" showLastColumn="0" showRowStripes="1" showColumnStripes="0"/>
</table>
</file>

<file path=xl/tables/table32.xml><?xml version="1.0" encoding="utf-8"?>
<table xmlns="http://schemas.openxmlformats.org/spreadsheetml/2006/main" id="32" name="Table2245789101123456789101112131415161718192021222324252627282930313233" displayName="Table2245789101123456789101112131415161718192021222324252627282930313233" ref="C2:N18" totalsRowShown="0" headerRowDxfId="158" dataDxfId="156" headerRowBorderDxfId="157">
  <tableColumns count="12">
    <tableColumn id="1" name="NOMOR" dataDxfId="155" dataCellStyle="Normal"/>
    <tableColumn id="3" name="TUJUAN" dataDxfId="154" dataCellStyle="Normal"/>
    <tableColumn id="16" name="Pick Up" dataDxfId="153"/>
    <tableColumn id="14" name="KAPAL" dataDxfId="152"/>
    <tableColumn id="15" name="ETD Kapal" dataDxfId="151"/>
    <tableColumn id="10" name="KETERANGAN" dataDxfId="150" dataCellStyle="Normal"/>
    <tableColumn id="5" name="P" dataDxfId="149" dataCellStyle="Normal"/>
    <tableColumn id="6" name="L" dataDxfId="148" dataCellStyle="Normal"/>
    <tableColumn id="7" name="T" dataDxfId="147" dataCellStyle="Normal"/>
    <tableColumn id="4" name="ACT KG" dataDxfId="146" dataCellStyle="Normal"/>
    <tableColumn id="8" name="KG VOLUME" dataDxfId="145" dataCellStyle="Normal"/>
    <tableColumn id="19" name="PEMBULATAN" dataDxfId="144"/>
  </tableColumns>
  <tableStyleInfo name="Table Style 1" showFirstColumn="0" showLastColumn="0" showRowStripes="1" showColumnStripes="0"/>
</table>
</file>

<file path=xl/tables/table33.xml><?xml version="1.0" encoding="utf-8"?>
<table xmlns="http://schemas.openxmlformats.org/spreadsheetml/2006/main" id="33" name="Table224578910112345678910111213141516171819202122232425262728293031323334" displayName="Table224578910112345678910111213141516171819202122232425262728293031323334" ref="C2:N9" totalsRowShown="0" headerRowDxfId="142" dataDxfId="140" headerRowBorderDxfId="141">
  <tableColumns count="12">
    <tableColumn id="1" name="NOMOR" dataDxfId="139" dataCellStyle="Normal"/>
    <tableColumn id="3" name="TUJUAN" dataDxfId="138" dataCellStyle="Normal"/>
    <tableColumn id="16" name="Pick Up" dataDxfId="137"/>
    <tableColumn id="14" name="KAPAL" dataDxfId="136"/>
    <tableColumn id="15" name="ETD Kapal" dataDxfId="135"/>
    <tableColumn id="10" name="KETERANGAN" dataDxfId="134" dataCellStyle="Normal"/>
    <tableColumn id="5" name="P" dataDxfId="133" dataCellStyle="Normal"/>
    <tableColumn id="6" name="L" dataDxfId="132" dataCellStyle="Normal"/>
    <tableColumn id="7" name="T" dataDxfId="131" dataCellStyle="Normal"/>
    <tableColumn id="4" name="ACT KG" dataDxfId="130" dataCellStyle="Normal"/>
    <tableColumn id="8" name="KG VOLUME" dataDxfId="129" dataCellStyle="Normal"/>
    <tableColumn id="19" name="PEMBULATAN" dataDxfId="128"/>
  </tableColumns>
  <tableStyleInfo name="Table Style 1" showFirstColumn="0" showLastColumn="0" showRowStripes="1" showColumnStripes="0"/>
</table>
</file>

<file path=xl/tables/table34.xml><?xml version="1.0" encoding="utf-8"?>
<table xmlns="http://schemas.openxmlformats.org/spreadsheetml/2006/main" id="34" name="Table22457891011234567891011121314151617181920212223242526272829303132333435" displayName="Table22457891011234567891011121314151617181920212223242526272829303132333435" ref="C2:N32" totalsRowShown="0" headerRowDxfId="126" dataDxfId="124" headerRowBorderDxfId="125">
  <tableColumns count="12">
    <tableColumn id="1" name="NOMOR" dataDxfId="123" dataCellStyle="Normal"/>
    <tableColumn id="3" name="TUJUAN" dataDxfId="122" dataCellStyle="Normal"/>
    <tableColumn id="16" name="Pick Up" dataDxfId="121"/>
    <tableColumn id="14" name="KAPAL" dataDxfId="120"/>
    <tableColumn id="15" name="ETD Kapal" dataDxfId="119"/>
    <tableColumn id="10" name="KETERANGAN" dataDxfId="118" dataCellStyle="Normal"/>
    <tableColumn id="5" name="P" dataDxfId="117" dataCellStyle="Normal"/>
    <tableColumn id="6" name="L" dataDxfId="116" dataCellStyle="Normal"/>
    <tableColumn id="7" name="T" dataDxfId="115" dataCellStyle="Normal"/>
    <tableColumn id="4" name="ACT KG" dataDxfId="114" dataCellStyle="Normal"/>
    <tableColumn id="8" name="KG VOLUME" dataDxfId="113" dataCellStyle="Normal"/>
    <tableColumn id="19" name="PEMBULATAN" dataDxfId="112"/>
  </tableColumns>
  <tableStyleInfo name="Table Style 1" showFirstColumn="0" showLastColumn="0" showRowStripes="1" showColumnStripes="0"/>
</table>
</file>

<file path=xl/tables/table35.xml><?xml version="1.0" encoding="utf-8"?>
<table xmlns="http://schemas.openxmlformats.org/spreadsheetml/2006/main" id="35" name="Table22457891011234567891011121314151617181920212223242526272829303132333436" displayName="Table22457891011234567891011121314151617181920212223242526272829303132333436" ref="C2:N5" totalsRowShown="0" headerRowDxfId="110" dataDxfId="108" headerRowBorderDxfId="109">
  <tableColumns count="12">
    <tableColumn id="1" name="NOMOR" dataDxfId="107" dataCellStyle="Normal"/>
    <tableColumn id="3" name="TUJUAN" dataDxfId="106" dataCellStyle="Normal"/>
    <tableColumn id="16" name="Pick Up" dataDxfId="105"/>
    <tableColumn id="14" name="KAPAL" dataDxfId="104"/>
    <tableColumn id="15" name="ETD Kapal" dataDxfId="103"/>
    <tableColumn id="10" name="KETERANGAN" dataDxfId="102" dataCellStyle="Normal"/>
    <tableColumn id="5" name="P" dataDxfId="101" dataCellStyle="Normal"/>
    <tableColumn id="6" name="L" dataDxfId="100" dataCellStyle="Normal"/>
    <tableColumn id="7" name="T" dataDxfId="99" dataCellStyle="Normal"/>
    <tableColumn id="4" name="ACT KG" dataDxfId="98" dataCellStyle="Normal"/>
    <tableColumn id="8" name="KG VOLUME" dataDxfId="97" dataCellStyle="Normal"/>
    <tableColumn id="19" name="PEMBULATAN" dataDxfId="96"/>
  </tableColumns>
  <tableStyleInfo name="Table Style 1" showFirstColumn="0" showLastColumn="0" showRowStripes="1" showColumnStripes="0"/>
</table>
</file>

<file path=xl/tables/table36.xml><?xml version="1.0" encoding="utf-8"?>
<table xmlns="http://schemas.openxmlformats.org/spreadsheetml/2006/main" id="36" name="Table2245789101123456789101112131415161718192021222324252627282930313233343537" displayName="Table2245789101123456789101112131415161718192021222324252627282930313233343537" ref="C2:N59" totalsRowShown="0" headerRowDxfId="94" dataDxfId="92" headerRowBorderDxfId="93">
  <tableColumns count="12">
    <tableColumn id="1" name="NOMOR" dataDxfId="91" dataCellStyle="Normal"/>
    <tableColumn id="3" name="TUJUAN" dataDxfId="90" dataCellStyle="Normal"/>
    <tableColumn id="16" name="Pick Up" dataDxfId="89"/>
    <tableColumn id="14" name="KAPAL" dataDxfId="88"/>
    <tableColumn id="15" name="ETD Kapal" dataDxfId="87"/>
    <tableColumn id="10" name="KETERANGAN" dataDxfId="86" dataCellStyle="Normal"/>
    <tableColumn id="5" name="P" dataDxfId="85" dataCellStyle="Normal"/>
    <tableColumn id="6" name="L" dataDxfId="84" dataCellStyle="Normal"/>
    <tableColumn id="7" name="T" dataDxfId="83" dataCellStyle="Normal"/>
    <tableColumn id="4" name="ACT KG" dataDxfId="82" dataCellStyle="Normal"/>
    <tableColumn id="8" name="KG VOLUME" dataDxfId="81" dataCellStyle="Normal"/>
    <tableColumn id="19" name="PEMBULATAN" dataDxfId="80"/>
  </tableColumns>
  <tableStyleInfo name="Table Style 1" showFirstColumn="0" showLastColumn="0" showRowStripes="1" showColumnStripes="0"/>
</table>
</file>

<file path=xl/tables/table37.xml><?xml version="1.0" encoding="utf-8"?>
<table xmlns="http://schemas.openxmlformats.org/spreadsheetml/2006/main" id="37" name="Table224578910112345678910111213141516171819202122232425262728293031323334353738" displayName="Table224578910112345678910111213141516171819202122232425262728293031323334353738" ref="C2:N9" totalsRowShown="0" headerRowDxfId="78" dataDxfId="76" headerRowBorderDxfId="77">
  <tableColumns count="12">
    <tableColumn id="1" name="NOMOR" dataDxfId="75" dataCellStyle="Normal"/>
    <tableColumn id="3" name="TUJUAN" dataDxfId="74" dataCellStyle="Normal"/>
    <tableColumn id="16" name="Pick Up" dataDxfId="73"/>
    <tableColumn id="14" name="KAPAL" dataDxfId="72"/>
    <tableColumn id="15" name="ETD Kapal" dataDxfId="71"/>
    <tableColumn id="10" name="KETERANGAN" dataDxfId="70" dataCellStyle="Normal"/>
    <tableColumn id="5" name="P" dataDxfId="69" dataCellStyle="Normal"/>
    <tableColumn id="6" name="L" dataDxfId="68" dataCellStyle="Normal"/>
    <tableColumn id="7" name="T" dataDxfId="67" dataCellStyle="Normal"/>
    <tableColumn id="4" name="ACT KG" dataDxfId="66" dataCellStyle="Normal"/>
    <tableColumn id="8" name="KG VOLUME" dataDxfId="65" dataCellStyle="Normal"/>
    <tableColumn id="19" name="PEMBULATAN" dataDxfId="64"/>
  </tableColumns>
  <tableStyleInfo name="Table Style 1" showFirstColumn="0" showLastColumn="0" showRowStripes="1" showColumnStripes="0"/>
</table>
</file>

<file path=xl/tables/table38.xml><?xml version="1.0" encoding="utf-8"?>
<table xmlns="http://schemas.openxmlformats.org/spreadsheetml/2006/main" id="38" name="Table22457891011234567891011121314151617181920212223242526272829303132333435373839" displayName="Table22457891011234567891011121314151617181920212223242526272829303132333435373839" ref="C2:N47" totalsRowShown="0" headerRowDxfId="62" dataDxfId="60" headerRowBorderDxfId="61">
  <tableColumns count="12">
    <tableColumn id="1" name="NOMOR" dataDxfId="59" dataCellStyle="Normal"/>
    <tableColumn id="3" name="TUJUAN" dataDxfId="58" dataCellStyle="Normal"/>
    <tableColumn id="16" name="Pick Up" dataDxfId="57"/>
    <tableColumn id="14" name="KAPAL" dataDxfId="56"/>
    <tableColumn id="15" name="ETD Kapal" dataDxfId="55"/>
    <tableColumn id="10" name="KETERANGAN" dataDxfId="54" dataCellStyle="Normal"/>
    <tableColumn id="5" name="P" dataDxfId="53" dataCellStyle="Normal"/>
    <tableColumn id="6" name="L" dataDxfId="52" dataCellStyle="Normal"/>
    <tableColumn id="7" name="T" dataDxfId="51" dataCellStyle="Normal"/>
    <tableColumn id="4" name="ACT KG" dataDxfId="50" dataCellStyle="Normal"/>
    <tableColumn id="8" name="KG VOLUME" dataDxfId="49" dataCellStyle="Normal"/>
    <tableColumn id="19" name="PEMBULATAN" dataDxfId="48"/>
  </tableColumns>
  <tableStyleInfo name="Table Style 1" showFirstColumn="0" showLastColumn="0" showRowStripes="1" showColumnStripes="0"/>
</table>
</file>

<file path=xl/tables/table39.xml><?xml version="1.0" encoding="utf-8"?>
<table xmlns="http://schemas.openxmlformats.org/spreadsheetml/2006/main" id="39" name="Table2245789101123456789101112131415161718192021222324252627282930313233343537383940" displayName="Table2245789101123456789101112131415161718192021222324252627282930313233343537383940" ref="C2:N4" totalsRowShown="0" headerRowDxfId="46" dataDxfId="44" headerRowBorderDxfId="45">
  <tableColumns count="12">
    <tableColumn id="1" name="NOMOR" dataDxfId="43" dataCellStyle="Normal"/>
    <tableColumn id="3" name="TUJUAN" dataDxfId="42" dataCellStyle="Normal"/>
    <tableColumn id="16" name="Pick Up" dataDxfId="41"/>
    <tableColumn id="14" name="KAPAL" dataDxfId="40"/>
    <tableColumn id="15" name="ETD Kapal" dataDxfId="39"/>
    <tableColumn id="10" name="KETERANGAN" dataDxfId="38" dataCellStyle="Normal"/>
    <tableColumn id="5" name="P" dataDxfId="37" dataCellStyle="Normal"/>
    <tableColumn id="6" name="L" dataDxfId="36" dataCellStyle="Normal"/>
    <tableColumn id="7" name="T" dataDxfId="35" dataCellStyle="Normal"/>
    <tableColumn id="4" name="ACT KG" dataDxfId="34" dataCellStyle="Normal"/>
    <tableColumn id="8" name="KG VOLUME" dataDxfId="33" dataCellStyle="Normal"/>
    <tableColumn id="19" name="PEMBULATAN" dataDxfId="32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24578910112345" displayName="Table224578910112345" ref="C2:N8" totalsRowShown="0" headerRowDxfId="645" dataDxfId="643" headerRowBorderDxfId="644">
  <tableColumns count="12">
    <tableColumn id="1" name="NOMOR" dataDxfId="642" dataCellStyle="Normal"/>
    <tableColumn id="3" name="TUJUAN" dataDxfId="641" dataCellStyle="Normal"/>
    <tableColumn id="16" name="Pick Up" dataDxfId="640"/>
    <tableColumn id="14" name="KAPAL" dataDxfId="639"/>
    <tableColumn id="15" name="ETD Kapal" dataDxfId="638"/>
    <tableColumn id="10" name="KETERANGAN" dataDxfId="637" dataCellStyle="Normal"/>
    <tableColumn id="5" name="P" dataDxfId="636" dataCellStyle="Normal"/>
    <tableColumn id="6" name="L" dataDxfId="635" dataCellStyle="Normal"/>
    <tableColumn id="7" name="T" dataDxfId="634" dataCellStyle="Normal"/>
    <tableColumn id="4" name="ACT KG" dataDxfId="633" dataCellStyle="Normal"/>
    <tableColumn id="8" name="KG VOLUME" dataDxfId="632" dataCellStyle="Normal"/>
    <tableColumn id="19" name="PEMBULATAN" dataDxfId="631"/>
  </tableColumns>
  <tableStyleInfo name="Table Style 1" showFirstColumn="0" showLastColumn="0" showRowStripes="1" showColumnStripes="0"/>
</table>
</file>

<file path=xl/tables/table40.xml><?xml version="1.0" encoding="utf-8"?>
<table xmlns="http://schemas.openxmlformats.org/spreadsheetml/2006/main" id="40" name="Table224578910112345678910111213141516171819202122232425262728293031323334353738394041" displayName="Table224578910112345678910111213141516171819202122232425262728293031323334353738394041" ref="C2:N42" totalsRowShown="0" headerRowDxfId="30" dataDxfId="28" headerRowBorderDxfId="29">
  <tableColumns count="12">
    <tableColumn id="1" name="NOMOR" dataDxfId="27" dataCellStyle="Normal"/>
    <tableColumn id="3" name="TUJUAN" dataDxfId="26" dataCellStyle="Normal"/>
    <tableColumn id="16" name="Pick Up" dataDxfId="25"/>
    <tableColumn id="14" name="KAPAL" dataDxfId="24"/>
    <tableColumn id="15" name="ETD Kapal" dataDxfId="23"/>
    <tableColumn id="10" name="KETERANGAN" dataDxfId="22" dataCellStyle="Normal"/>
    <tableColumn id="5" name="P" dataDxfId="21" dataCellStyle="Normal"/>
    <tableColumn id="6" name="L" dataDxfId="20" dataCellStyle="Normal"/>
    <tableColumn id="7" name="T" dataDxfId="19" dataCellStyle="Normal"/>
    <tableColumn id="4" name="ACT KG" dataDxfId="18" dataCellStyle="Normal"/>
    <tableColumn id="8" name="KG VOLUME" dataDxfId="17" dataCellStyle="Normal"/>
    <tableColumn id="19" name="PEMBULATAN" dataDxfId="16"/>
  </tableColumns>
  <tableStyleInfo name="Table Style 1" showFirstColumn="0" showLastColumn="0" showRowStripes="1" showColumnStripes="0"/>
</table>
</file>

<file path=xl/tables/table41.xml><?xml version="1.0" encoding="utf-8"?>
<table xmlns="http://schemas.openxmlformats.org/spreadsheetml/2006/main" id="41" name="Table22457891011234567891011121314151617181920212223242526272829303132333435373839404142" displayName="Table22457891011234567891011121314151617181920212223242526272829303132333435373839404142" ref="C2:N30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789101123456" displayName="Table2245789101123456" ref="C2:N3" totalsRowShown="0" headerRowDxfId="629" dataDxfId="627" headerRowBorderDxfId="628">
  <tableColumns count="12">
    <tableColumn id="1" name="NOMOR" dataDxfId="626" dataCellStyle="Normal"/>
    <tableColumn id="3" name="TUJUAN" dataDxfId="625" dataCellStyle="Normal"/>
    <tableColumn id="16" name="Pick Up" dataDxfId="624"/>
    <tableColumn id="14" name="KAPAL" dataDxfId="623"/>
    <tableColumn id="15" name="ETD Kapal" dataDxfId="622"/>
    <tableColumn id="10" name="KETERANGAN" dataDxfId="621" dataCellStyle="Normal"/>
    <tableColumn id="5" name="P" dataDxfId="620" dataCellStyle="Normal"/>
    <tableColumn id="6" name="L" dataDxfId="619" dataCellStyle="Normal"/>
    <tableColumn id="7" name="T" dataDxfId="618" dataCellStyle="Normal"/>
    <tableColumn id="4" name="ACT KG" dataDxfId="617" dataCellStyle="Normal"/>
    <tableColumn id="8" name="KG VOLUME" dataDxfId="616" dataCellStyle="Normal"/>
    <tableColumn id="19" name="PEMBULATAN" dataDxfId="615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2457891011234567" displayName="Table22457891011234567" ref="C2:N45" totalsRowShown="0" headerRowDxfId="611" dataDxfId="609" headerRowBorderDxfId="610">
  <tableColumns count="12">
    <tableColumn id="1" name="NOMOR" dataDxfId="608" dataCellStyle="Normal"/>
    <tableColumn id="3" name="TUJUAN" dataDxfId="607" dataCellStyle="Normal"/>
    <tableColumn id="16" name="Pick Up" dataDxfId="606"/>
    <tableColumn id="14" name="KAPAL" dataDxfId="605"/>
    <tableColumn id="15" name="ETD Kapal" dataDxfId="604"/>
    <tableColumn id="10" name="KETERANGAN" dataDxfId="603" dataCellStyle="Normal"/>
    <tableColumn id="5" name="P" dataDxfId="602" dataCellStyle="Normal"/>
    <tableColumn id="6" name="L" dataDxfId="601" dataCellStyle="Normal"/>
    <tableColumn id="7" name="T" dataDxfId="600" dataCellStyle="Normal"/>
    <tableColumn id="4" name="ACT KG" dataDxfId="599" dataCellStyle="Normal"/>
    <tableColumn id="8" name="KG VOLUME" dataDxfId="598" dataCellStyle="Normal"/>
    <tableColumn id="19" name="PEMBULATAN" dataDxfId="597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7" name="Table224578910112345678" displayName="Table224578910112345678" ref="C2:N16" totalsRowShown="0" headerRowDxfId="593" dataDxfId="591" headerRowBorderDxfId="592">
  <tableColumns count="12">
    <tableColumn id="1" name="NOMOR" dataDxfId="590" dataCellStyle="Normal"/>
    <tableColumn id="3" name="TUJUAN" dataDxfId="589" dataCellStyle="Normal"/>
    <tableColumn id="16" name="Pick Up" dataDxfId="588"/>
    <tableColumn id="14" name="KAPAL" dataDxfId="587"/>
    <tableColumn id="15" name="ETD Kapal" dataDxfId="586"/>
    <tableColumn id="10" name="KETERANGAN" dataDxfId="585" dataCellStyle="Normal"/>
    <tableColumn id="5" name="P" dataDxfId="584" dataCellStyle="Normal"/>
    <tableColumn id="6" name="L" dataDxfId="583" dataCellStyle="Normal"/>
    <tableColumn id="7" name="T" dataDxfId="582" dataCellStyle="Normal"/>
    <tableColumn id="4" name="ACT KG" dataDxfId="581" dataCellStyle="Normal"/>
    <tableColumn id="8" name="KG VOLUME" dataDxfId="580" dataCellStyle="Normal"/>
    <tableColumn id="19" name="PEMBULATAN" dataDxfId="579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8" name="Table2245789101123456789" displayName="Table2245789101123456789" ref="C2:N38" totalsRowShown="0" headerRowDxfId="575" dataDxfId="573" headerRowBorderDxfId="574">
  <tableColumns count="12">
    <tableColumn id="1" name="NOMOR" dataDxfId="572" dataCellStyle="Normal"/>
    <tableColumn id="3" name="TUJUAN" dataDxfId="571" dataCellStyle="Normal"/>
    <tableColumn id="16" name="Pick Up" dataDxfId="570"/>
    <tableColumn id="14" name="KAPAL" dataDxfId="569"/>
    <tableColumn id="15" name="ETD Kapal" dataDxfId="568"/>
    <tableColumn id="10" name="KETERANGAN" dataDxfId="567" dataCellStyle="Normal"/>
    <tableColumn id="5" name="P" dataDxfId="566" dataCellStyle="Normal"/>
    <tableColumn id="6" name="L" dataDxfId="565" dataCellStyle="Normal"/>
    <tableColumn id="7" name="T" dataDxfId="564" dataCellStyle="Normal"/>
    <tableColumn id="4" name="ACT KG" dataDxfId="563" dataCellStyle="Normal"/>
    <tableColumn id="8" name="KG VOLUME" dataDxfId="562" dataCellStyle="Normal"/>
    <tableColumn id="19" name="PEMBULATAN" dataDxfId="561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Table224578910112345678910" displayName="Table224578910112345678910" ref="C2:N7" totalsRowShown="0" headerRowDxfId="557" dataDxfId="555" headerRowBorderDxfId="556">
  <tableColumns count="12">
    <tableColumn id="1" name="NOMOR" dataDxfId="554" dataCellStyle="Normal"/>
    <tableColumn id="3" name="TUJUAN" dataDxfId="553" dataCellStyle="Normal"/>
    <tableColumn id="16" name="Pick Up" dataDxfId="552"/>
    <tableColumn id="14" name="KAPAL" dataDxfId="551"/>
    <tableColumn id="15" name="ETD Kapal" dataDxfId="550"/>
    <tableColumn id="10" name="KETERANGAN" dataDxfId="549" dataCellStyle="Normal"/>
    <tableColumn id="5" name="P" dataDxfId="548" dataCellStyle="Normal"/>
    <tableColumn id="6" name="L" dataDxfId="547" dataCellStyle="Normal"/>
    <tableColumn id="7" name="T" dataDxfId="546" dataCellStyle="Normal"/>
    <tableColumn id="4" name="ACT KG" dataDxfId="545" dataCellStyle="Normal"/>
    <tableColumn id="8" name="KG VOLUME" dataDxfId="544" dataCellStyle="Normal"/>
    <tableColumn id="19" name="PEMBULATAN" dataDxfId="543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sicepat.com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www.sicepat.com/" TargetMode="External"/><Relationship Id="rId1" Type="http://schemas.openxmlformats.org/officeDocument/2006/relationships/hyperlink" Target="https://www.sicepat.com/" TargetMode="External"/><Relationship Id="rId4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www.sicepat.com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https://www.sicepat.com/" TargetMode="External"/><Relationship Id="rId1" Type="http://schemas.openxmlformats.org/officeDocument/2006/relationships/hyperlink" Target="https://www.sicepat.com/" TargetMode="External"/><Relationship Id="rId4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https://www.sicepat.com/" TargetMode="External"/><Relationship Id="rId1" Type="http://schemas.openxmlformats.org/officeDocument/2006/relationships/hyperlink" Target="https://www.sicepat.com/" TargetMode="External"/><Relationship Id="rId4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www.sicepat.com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s://www.sicepat.com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hyperlink" Target="https://www.sicepat.com/" TargetMode="External"/><Relationship Id="rId1" Type="http://schemas.openxmlformats.org/officeDocument/2006/relationships/hyperlink" Target="https://www.sicepat.com/" TargetMode="External"/><Relationship Id="rId4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83"/>
  <sheetViews>
    <sheetView tabSelected="1" topLeftCell="A44" workbookViewId="0">
      <selection activeCell="L48" sqref="L48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36" t="s">
        <v>14</v>
      </c>
      <c r="B10" s="137"/>
      <c r="C10" s="137"/>
      <c r="D10" s="137"/>
      <c r="E10" s="137"/>
      <c r="F10" s="137"/>
      <c r="G10" s="137"/>
      <c r="H10" s="137"/>
      <c r="I10" s="137"/>
      <c r="J10" s="138"/>
    </row>
    <row r="12" spans="1:10" x14ac:dyDescent="0.25">
      <c r="A12" s="118" t="s">
        <v>15</v>
      </c>
      <c r="B12" s="118" t="s">
        <v>16</v>
      </c>
      <c r="C12" s="118"/>
      <c r="D12" s="118"/>
      <c r="E12" s="118"/>
      <c r="F12" s="118"/>
      <c r="G12" s="135" t="s">
        <v>49</v>
      </c>
      <c r="H12" s="135"/>
      <c r="I12" s="119" t="s">
        <v>17</v>
      </c>
      <c r="J12" s="118" t="s">
        <v>914</v>
      </c>
    </row>
    <row r="13" spans="1:10" x14ac:dyDescent="0.25">
      <c r="A13" s="118"/>
      <c r="B13" s="118"/>
      <c r="C13" s="118"/>
      <c r="D13" s="118"/>
      <c r="E13" s="118"/>
      <c r="F13" s="118"/>
      <c r="G13" s="135" t="s">
        <v>18</v>
      </c>
      <c r="H13" s="135"/>
      <c r="I13" s="119" t="s">
        <v>17</v>
      </c>
      <c r="J13" s="120" t="s">
        <v>915</v>
      </c>
    </row>
    <row r="14" spans="1:10" x14ac:dyDescent="0.25">
      <c r="A14" s="118"/>
      <c r="B14" s="118"/>
      <c r="C14" s="118"/>
      <c r="D14" s="118"/>
      <c r="E14" s="118"/>
      <c r="F14" s="118"/>
      <c r="G14" s="135" t="s">
        <v>51</v>
      </c>
      <c r="H14" s="135"/>
      <c r="I14" s="119" t="s">
        <v>17</v>
      </c>
      <c r="J14" s="118" t="s">
        <v>50</v>
      </c>
    </row>
    <row r="15" spans="1:10" x14ac:dyDescent="0.25">
      <c r="A15" s="118" t="s">
        <v>19</v>
      </c>
      <c r="B15" s="118" t="s">
        <v>20</v>
      </c>
      <c r="C15" s="118"/>
      <c r="D15" s="118"/>
      <c r="E15" s="118"/>
      <c r="F15" s="118"/>
      <c r="G15" s="118"/>
      <c r="H15" s="121"/>
      <c r="I15" s="119"/>
      <c r="J15" s="118" t="s">
        <v>916</v>
      </c>
    </row>
    <row r="16" spans="1:10" ht="16.5" thickBot="1" x14ac:dyDescent="0.3"/>
    <row r="17" spans="1:12" ht="26.25" customHeight="1" x14ac:dyDescent="0.25">
      <c r="A17" s="125" t="s">
        <v>21</v>
      </c>
      <c r="B17" s="126" t="s">
        <v>22</v>
      </c>
      <c r="C17" s="126" t="s">
        <v>23</v>
      </c>
      <c r="D17" s="126" t="s">
        <v>24</v>
      </c>
      <c r="E17" s="126" t="s">
        <v>25</v>
      </c>
      <c r="F17" s="127" t="s">
        <v>26</v>
      </c>
      <c r="G17" s="127" t="s">
        <v>27</v>
      </c>
      <c r="H17" s="139" t="s">
        <v>28</v>
      </c>
      <c r="I17" s="140"/>
      <c r="J17" s="128" t="s">
        <v>29</v>
      </c>
    </row>
    <row r="18" spans="1:12" ht="48" customHeight="1" x14ac:dyDescent="0.25">
      <c r="A18" s="23">
        <v>1</v>
      </c>
      <c r="B18" s="24">
        <f>'403451'!E3</f>
        <v>44501</v>
      </c>
      <c r="C18" s="78">
        <f>'403451'!A3</f>
        <v>403451</v>
      </c>
      <c r="D18" s="25" t="s">
        <v>913</v>
      </c>
      <c r="E18" s="25" t="s">
        <v>59</v>
      </c>
      <c r="F18" s="26">
        <v>1</v>
      </c>
      <c r="G18" s="122">
        <f>'403451'!N4</f>
        <v>9.1</v>
      </c>
      <c r="H18" s="129">
        <v>7000</v>
      </c>
      <c r="I18" s="130"/>
      <c r="J18" s="28">
        <f>G18*H18</f>
        <v>63700</v>
      </c>
      <c r="L18"/>
    </row>
    <row r="19" spans="1:12" ht="48" customHeight="1" x14ac:dyDescent="0.25">
      <c r="A19" s="23">
        <f>A18+1</f>
        <v>2</v>
      </c>
      <c r="B19" s="24">
        <f>'402442'!E3</f>
        <v>44501</v>
      </c>
      <c r="C19" s="78">
        <f>'402442'!A3</f>
        <v>402442</v>
      </c>
      <c r="D19" s="25" t="s">
        <v>913</v>
      </c>
      <c r="E19" s="25" t="s">
        <v>59</v>
      </c>
      <c r="F19" s="26">
        <v>8</v>
      </c>
      <c r="G19" s="123">
        <f>'402442'!N11</f>
        <v>137.88624999999999</v>
      </c>
      <c r="H19" s="129">
        <v>7000</v>
      </c>
      <c r="I19" s="130"/>
      <c r="J19" s="28">
        <f t="shared" ref="J19:J58" si="0">G19*H19</f>
        <v>965203.74999999988</v>
      </c>
      <c r="L19"/>
    </row>
    <row r="20" spans="1:12" ht="48" customHeight="1" x14ac:dyDescent="0.25">
      <c r="A20" s="23">
        <f t="shared" ref="A20:A49" si="1">A19+1</f>
        <v>3</v>
      </c>
      <c r="B20" s="24">
        <f>'402447'!E3</f>
        <v>44502</v>
      </c>
      <c r="C20" s="78">
        <f>'402447'!A3</f>
        <v>402447</v>
      </c>
      <c r="D20" s="25" t="s">
        <v>913</v>
      </c>
      <c r="E20" s="25" t="s">
        <v>59</v>
      </c>
      <c r="F20" s="26">
        <v>22</v>
      </c>
      <c r="G20" s="123">
        <f>'402447'!N25</f>
        <v>333.5865</v>
      </c>
      <c r="H20" s="129">
        <v>7000</v>
      </c>
      <c r="I20" s="130"/>
      <c r="J20" s="28">
        <f t="shared" si="0"/>
        <v>2335105.5</v>
      </c>
      <c r="L20"/>
    </row>
    <row r="21" spans="1:12" ht="48" customHeight="1" x14ac:dyDescent="0.25">
      <c r="A21" s="23">
        <f t="shared" si="1"/>
        <v>4</v>
      </c>
      <c r="B21" s="24">
        <f>'402320'!E3</f>
        <v>44502</v>
      </c>
      <c r="C21" s="78">
        <f>'402320'!A3</f>
        <v>402320</v>
      </c>
      <c r="D21" s="25" t="s">
        <v>913</v>
      </c>
      <c r="E21" s="25" t="s">
        <v>59</v>
      </c>
      <c r="F21" s="26">
        <v>6</v>
      </c>
      <c r="G21" s="123">
        <f>'402320'!N9</f>
        <v>111.68499999999999</v>
      </c>
      <c r="H21" s="129">
        <v>7000</v>
      </c>
      <c r="I21" s="130"/>
      <c r="J21" s="28">
        <f t="shared" si="0"/>
        <v>781794.99999999988</v>
      </c>
      <c r="L21"/>
    </row>
    <row r="22" spans="1:12" ht="48" customHeight="1" x14ac:dyDescent="0.25">
      <c r="A22" s="23">
        <f t="shared" si="1"/>
        <v>5</v>
      </c>
      <c r="B22" s="24">
        <f>'403936'!E3</f>
        <v>44503</v>
      </c>
      <c r="C22" s="78">
        <f>'403936'!A3</f>
        <v>403936</v>
      </c>
      <c r="D22" s="25" t="s">
        <v>913</v>
      </c>
      <c r="E22" s="25" t="s">
        <v>59</v>
      </c>
      <c r="F22" s="26">
        <v>1</v>
      </c>
      <c r="G22" s="123">
        <f>'403936'!N4</f>
        <v>7</v>
      </c>
      <c r="H22" s="129">
        <v>7000</v>
      </c>
      <c r="I22" s="130"/>
      <c r="J22" s="28">
        <f t="shared" si="0"/>
        <v>49000</v>
      </c>
      <c r="L22"/>
    </row>
    <row r="23" spans="1:12" ht="48" customHeight="1" x14ac:dyDescent="0.25">
      <c r="A23" s="23">
        <f t="shared" si="1"/>
        <v>6</v>
      </c>
      <c r="B23" s="24">
        <f>'402325'!E3</f>
        <v>44503</v>
      </c>
      <c r="C23" s="78">
        <f>'402325'!A3</f>
        <v>402325</v>
      </c>
      <c r="D23" s="25" t="s">
        <v>913</v>
      </c>
      <c r="E23" s="25" t="s">
        <v>59</v>
      </c>
      <c r="F23" s="26">
        <v>43</v>
      </c>
      <c r="G23" s="123">
        <f>'402325'!N46</f>
        <v>978.7170000000001</v>
      </c>
      <c r="H23" s="129">
        <v>7000</v>
      </c>
      <c r="I23" s="130"/>
      <c r="J23" s="28">
        <f t="shared" si="0"/>
        <v>6851019.0000000009</v>
      </c>
      <c r="L23"/>
    </row>
    <row r="24" spans="1:12" ht="48" customHeight="1" x14ac:dyDescent="0.25">
      <c r="A24" s="23">
        <f t="shared" si="1"/>
        <v>7</v>
      </c>
      <c r="B24" s="24">
        <f>'403282'!E3</f>
        <v>44504</v>
      </c>
      <c r="C24" s="78">
        <f>'403282'!A3</f>
        <v>403282</v>
      </c>
      <c r="D24" s="25" t="s">
        <v>913</v>
      </c>
      <c r="E24" s="25" t="s">
        <v>59</v>
      </c>
      <c r="F24" s="26">
        <v>14</v>
      </c>
      <c r="G24" s="123">
        <f>'403282'!N17</f>
        <v>367.77424999999999</v>
      </c>
      <c r="H24" s="129">
        <v>7000</v>
      </c>
      <c r="I24" s="130"/>
      <c r="J24" s="28">
        <f t="shared" si="0"/>
        <v>2574419.75</v>
      </c>
      <c r="L24"/>
    </row>
    <row r="25" spans="1:12" ht="48" customHeight="1" x14ac:dyDescent="0.25">
      <c r="A25" s="23">
        <f t="shared" si="1"/>
        <v>8</v>
      </c>
      <c r="B25" s="24">
        <f>'402326'!E3</f>
        <v>44504</v>
      </c>
      <c r="C25" s="78">
        <f>'402326'!A3</f>
        <v>402326</v>
      </c>
      <c r="D25" s="25" t="s">
        <v>913</v>
      </c>
      <c r="E25" s="25" t="s">
        <v>59</v>
      </c>
      <c r="F25" s="26">
        <v>36</v>
      </c>
      <c r="G25" s="123">
        <f>'402326'!N39</f>
        <v>546.08050000000003</v>
      </c>
      <c r="H25" s="129">
        <v>7000</v>
      </c>
      <c r="I25" s="130"/>
      <c r="J25" s="28">
        <f t="shared" si="0"/>
        <v>3822563.5</v>
      </c>
      <c r="L25"/>
    </row>
    <row r="26" spans="1:12" ht="48" customHeight="1" x14ac:dyDescent="0.25">
      <c r="A26" s="23">
        <f t="shared" si="1"/>
        <v>9</v>
      </c>
      <c r="B26" s="24">
        <f>'404008'!E3</f>
        <v>44505</v>
      </c>
      <c r="C26" s="124">
        <f>'404008'!A3</f>
        <v>404008</v>
      </c>
      <c r="D26" s="25" t="s">
        <v>913</v>
      </c>
      <c r="E26" s="25" t="s">
        <v>59</v>
      </c>
      <c r="F26" s="26">
        <v>5</v>
      </c>
      <c r="G26" s="123">
        <f>'404008'!N8</f>
        <v>74.547499999999999</v>
      </c>
      <c r="H26" s="129">
        <v>7000</v>
      </c>
      <c r="I26" s="130"/>
      <c r="J26" s="28">
        <f t="shared" si="0"/>
        <v>521832.5</v>
      </c>
      <c r="L26"/>
    </row>
    <row r="27" spans="1:12" ht="48" customHeight="1" x14ac:dyDescent="0.25">
      <c r="A27" s="23">
        <f t="shared" si="1"/>
        <v>10</v>
      </c>
      <c r="B27" s="24">
        <f>'402331'!E3</f>
        <v>44505</v>
      </c>
      <c r="C27" s="78">
        <f>'402331'!A3</f>
        <v>402331</v>
      </c>
      <c r="D27" s="25" t="s">
        <v>913</v>
      </c>
      <c r="E27" s="25" t="s">
        <v>59</v>
      </c>
      <c r="F27" s="26">
        <v>45</v>
      </c>
      <c r="G27" s="123">
        <f>'402331'!N48</f>
        <v>1003.1329999999999</v>
      </c>
      <c r="H27" s="129">
        <v>7000</v>
      </c>
      <c r="I27" s="130"/>
      <c r="J27" s="28">
        <f t="shared" si="0"/>
        <v>7021930.9999999991</v>
      </c>
      <c r="L27"/>
    </row>
    <row r="28" spans="1:12" ht="48" customHeight="1" x14ac:dyDescent="0.25">
      <c r="A28" s="23">
        <f t="shared" si="1"/>
        <v>11</v>
      </c>
      <c r="B28" s="24">
        <f>'404010'!E3</f>
        <v>44506</v>
      </c>
      <c r="C28" s="78">
        <f>'404010'!A3</f>
        <v>404010</v>
      </c>
      <c r="D28" s="25" t="s">
        <v>913</v>
      </c>
      <c r="E28" s="25" t="s">
        <v>59</v>
      </c>
      <c r="F28" s="26">
        <v>6</v>
      </c>
      <c r="G28" s="123">
        <f>'404010'!N9</f>
        <v>84.731999999999999</v>
      </c>
      <c r="H28" s="129">
        <v>7000</v>
      </c>
      <c r="I28" s="130"/>
      <c r="J28" s="28">
        <f t="shared" si="0"/>
        <v>593124</v>
      </c>
      <c r="L28"/>
    </row>
    <row r="29" spans="1:12" ht="48" customHeight="1" x14ac:dyDescent="0.25">
      <c r="A29" s="23">
        <f t="shared" si="1"/>
        <v>12</v>
      </c>
      <c r="B29" s="24">
        <f>'402334'!E3</f>
        <v>44506</v>
      </c>
      <c r="C29" s="78">
        <f>'402334'!A3</f>
        <v>402334</v>
      </c>
      <c r="D29" s="25" t="s">
        <v>913</v>
      </c>
      <c r="E29" s="25" t="s">
        <v>59</v>
      </c>
      <c r="F29" s="26">
        <v>38</v>
      </c>
      <c r="G29" s="123">
        <f>'402334'!N41</f>
        <v>982.31575000000009</v>
      </c>
      <c r="H29" s="129">
        <v>7000</v>
      </c>
      <c r="I29" s="130"/>
      <c r="J29" s="28">
        <f t="shared" si="0"/>
        <v>6876210.2500000009</v>
      </c>
      <c r="L29"/>
    </row>
    <row r="30" spans="1:12" ht="48" customHeight="1" x14ac:dyDescent="0.25">
      <c r="A30" s="23">
        <f t="shared" si="1"/>
        <v>13</v>
      </c>
      <c r="B30" s="24">
        <f>'404015'!E3</f>
        <v>44507</v>
      </c>
      <c r="C30" s="78">
        <f>'404015'!A3</f>
        <v>404015</v>
      </c>
      <c r="D30" s="25" t="s">
        <v>913</v>
      </c>
      <c r="E30" s="25" t="s">
        <v>59</v>
      </c>
      <c r="F30" s="26">
        <v>13</v>
      </c>
      <c r="G30" s="123">
        <f>'404015'!N16</f>
        <v>285.66700000000003</v>
      </c>
      <c r="H30" s="129">
        <v>7000</v>
      </c>
      <c r="I30" s="130"/>
      <c r="J30" s="28">
        <f t="shared" si="0"/>
        <v>1999669.0000000002</v>
      </c>
      <c r="L30"/>
    </row>
    <row r="31" spans="1:12" ht="48" customHeight="1" x14ac:dyDescent="0.25">
      <c r="A31" s="23">
        <f t="shared" si="1"/>
        <v>14</v>
      </c>
      <c r="B31" s="24">
        <f>'402338'!E3</f>
        <v>44507</v>
      </c>
      <c r="C31" s="78">
        <f>'402338'!A3</f>
        <v>402338</v>
      </c>
      <c r="D31" s="25" t="s">
        <v>913</v>
      </c>
      <c r="E31" s="25" t="s">
        <v>59</v>
      </c>
      <c r="F31" s="26">
        <v>12</v>
      </c>
      <c r="G31" s="123">
        <f>'402338'!N15</f>
        <v>253.45599999999999</v>
      </c>
      <c r="H31" s="129">
        <v>7000</v>
      </c>
      <c r="I31" s="130"/>
      <c r="J31" s="28">
        <f t="shared" si="0"/>
        <v>1774192</v>
      </c>
      <c r="L31"/>
    </row>
    <row r="32" spans="1:12" ht="48" customHeight="1" x14ac:dyDescent="0.25">
      <c r="A32" s="23">
        <f t="shared" si="1"/>
        <v>15</v>
      </c>
      <c r="B32" s="24">
        <f>'404016'!E3</f>
        <v>44508</v>
      </c>
      <c r="C32" s="78">
        <f>'404016'!A3</f>
        <v>404016</v>
      </c>
      <c r="D32" s="25" t="s">
        <v>913</v>
      </c>
      <c r="E32" s="25" t="s">
        <v>59</v>
      </c>
      <c r="F32" s="26">
        <v>2</v>
      </c>
      <c r="G32" s="123">
        <f>'404016'!N5</f>
        <v>23.852</v>
      </c>
      <c r="H32" s="129">
        <v>7000</v>
      </c>
      <c r="I32" s="130"/>
      <c r="J32" s="28">
        <f t="shared" si="0"/>
        <v>166964</v>
      </c>
      <c r="L32"/>
    </row>
    <row r="33" spans="1:12" ht="48" customHeight="1" x14ac:dyDescent="0.25">
      <c r="A33" s="23">
        <f t="shared" si="1"/>
        <v>16</v>
      </c>
      <c r="B33" s="24">
        <f>'402324'!E3</f>
        <v>44508</v>
      </c>
      <c r="C33" s="78">
        <f>'402324'!A3</f>
        <v>402324</v>
      </c>
      <c r="D33" s="25" t="s">
        <v>913</v>
      </c>
      <c r="E33" s="25" t="s">
        <v>59</v>
      </c>
      <c r="F33" s="26">
        <v>13</v>
      </c>
      <c r="G33" s="123">
        <f>'402324'!N16</f>
        <v>226.57374999999996</v>
      </c>
      <c r="H33" s="129">
        <v>7000</v>
      </c>
      <c r="I33" s="130"/>
      <c r="J33" s="28">
        <f t="shared" si="0"/>
        <v>1586016.2499999998</v>
      </c>
      <c r="L33"/>
    </row>
    <row r="34" spans="1:12" ht="48" customHeight="1" x14ac:dyDescent="0.25">
      <c r="A34" s="23">
        <f t="shared" si="1"/>
        <v>17</v>
      </c>
      <c r="B34" s="24">
        <f>'404018'!E3</f>
        <v>44509</v>
      </c>
      <c r="C34" s="78">
        <f>'404018'!A3</f>
        <v>404018</v>
      </c>
      <c r="D34" s="25" t="s">
        <v>913</v>
      </c>
      <c r="E34" s="25" t="s">
        <v>59</v>
      </c>
      <c r="F34" s="26">
        <v>6</v>
      </c>
      <c r="G34" s="123">
        <f>'404018'!N9</f>
        <v>213.24799999999999</v>
      </c>
      <c r="H34" s="129">
        <v>7000</v>
      </c>
      <c r="I34" s="130"/>
      <c r="J34" s="28">
        <f t="shared" si="0"/>
        <v>1492736</v>
      </c>
      <c r="L34"/>
    </row>
    <row r="35" spans="1:12" ht="48" customHeight="1" x14ac:dyDescent="0.25">
      <c r="A35" s="23">
        <f t="shared" si="1"/>
        <v>18</v>
      </c>
      <c r="B35" s="24">
        <f>'402346'!E3</f>
        <v>44509</v>
      </c>
      <c r="C35" s="78">
        <f>'402346'!A3</f>
        <v>402346</v>
      </c>
      <c r="D35" s="25" t="s">
        <v>913</v>
      </c>
      <c r="E35" s="25" t="s">
        <v>59</v>
      </c>
      <c r="F35" s="26">
        <v>27</v>
      </c>
      <c r="G35" s="123">
        <f>'402346'!N30</f>
        <v>411.67124999999999</v>
      </c>
      <c r="H35" s="129">
        <v>7000</v>
      </c>
      <c r="I35" s="130"/>
      <c r="J35" s="28">
        <f t="shared" si="0"/>
        <v>2881698.75</v>
      </c>
      <c r="L35"/>
    </row>
    <row r="36" spans="1:12" ht="48" customHeight="1" x14ac:dyDescent="0.25">
      <c r="A36" s="23">
        <f t="shared" si="1"/>
        <v>19</v>
      </c>
      <c r="B36" s="24">
        <f>'404020'!E3</f>
        <v>44510</v>
      </c>
      <c r="C36" s="78">
        <f>'404020'!A3</f>
        <v>404020</v>
      </c>
      <c r="D36" s="25" t="s">
        <v>913</v>
      </c>
      <c r="E36" s="25" t="s">
        <v>59</v>
      </c>
      <c r="F36" s="26">
        <v>5</v>
      </c>
      <c r="G36" s="123">
        <f>'404020'!N8</f>
        <v>56.859000000000002</v>
      </c>
      <c r="H36" s="129">
        <v>7000</v>
      </c>
      <c r="I36" s="130"/>
      <c r="J36" s="28">
        <f t="shared" si="0"/>
        <v>398013</v>
      </c>
      <c r="L36"/>
    </row>
    <row r="37" spans="1:12" ht="48" customHeight="1" x14ac:dyDescent="0.25">
      <c r="A37" s="23">
        <f t="shared" si="1"/>
        <v>20</v>
      </c>
      <c r="B37" s="24">
        <f>'402349'!E3</f>
        <v>44510</v>
      </c>
      <c r="C37" s="78">
        <f>'402349'!A3</f>
        <v>402349</v>
      </c>
      <c r="D37" s="25" t="s">
        <v>913</v>
      </c>
      <c r="E37" s="25" t="s">
        <v>59</v>
      </c>
      <c r="F37" s="26">
        <v>20</v>
      </c>
      <c r="G37" s="123">
        <f>'402349'!N23</f>
        <v>396.29325</v>
      </c>
      <c r="H37" s="129">
        <v>7000</v>
      </c>
      <c r="I37" s="130"/>
      <c r="J37" s="28">
        <f t="shared" si="0"/>
        <v>2774052.75</v>
      </c>
      <c r="L37"/>
    </row>
    <row r="38" spans="1:12" ht="48" customHeight="1" x14ac:dyDescent="0.25">
      <c r="A38" s="23">
        <f t="shared" si="1"/>
        <v>21</v>
      </c>
      <c r="B38" s="24">
        <f>'404022'!E3</f>
        <v>44511</v>
      </c>
      <c r="C38" s="78">
        <f>'404022'!A3</f>
        <v>404022</v>
      </c>
      <c r="D38" s="25" t="s">
        <v>913</v>
      </c>
      <c r="E38" s="25" t="s">
        <v>59</v>
      </c>
      <c r="F38" s="26">
        <v>1</v>
      </c>
      <c r="G38" s="123">
        <f>'404022'!N4</f>
        <v>8.64</v>
      </c>
      <c r="H38" s="129">
        <v>7000</v>
      </c>
      <c r="I38" s="130"/>
      <c r="J38" s="28">
        <f t="shared" si="0"/>
        <v>60480.000000000007</v>
      </c>
      <c r="L38"/>
    </row>
    <row r="39" spans="1:12" ht="48" customHeight="1" x14ac:dyDescent="0.25">
      <c r="A39" s="23">
        <f t="shared" si="1"/>
        <v>22</v>
      </c>
      <c r="B39" s="24">
        <f>'403854'!E3</f>
        <v>44511</v>
      </c>
      <c r="C39" s="78">
        <f>'403854'!A3</f>
        <v>403854</v>
      </c>
      <c r="D39" s="25" t="s">
        <v>913</v>
      </c>
      <c r="E39" s="25" t="s">
        <v>59</v>
      </c>
      <c r="F39" s="26">
        <v>26</v>
      </c>
      <c r="G39" s="123">
        <f>'403854'!N29</f>
        <v>504.87900000000008</v>
      </c>
      <c r="H39" s="129">
        <v>7000</v>
      </c>
      <c r="I39" s="130"/>
      <c r="J39" s="28">
        <f t="shared" si="0"/>
        <v>3534153.0000000005</v>
      </c>
      <c r="L39"/>
    </row>
    <row r="40" spans="1:12" ht="48" customHeight="1" x14ac:dyDescent="0.25">
      <c r="A40" s="23">
        <f t="shared" si="1"/>
        <v>23</v>
      </c>
      <c r="B40" s="24">
        <f>'403940'!E3</f>
        <v>44512</v>
      </c>
      <c r="C40" s="78">
        <f>'403940'!A3</f>
        <v>403940</v>
      </c>
      <c r="D40" s="25" t="s">
        <v>913</v>
      </c>
      <c r="E40" s="25" t="s">
        <v>59</v>
      </c>
      <c r="F40" s="26">
        <v>3</v>
      </c>
      <c r="G40" s="123">
        <f>'403940'!N6</f>
        <v>45.932000000000002</v>
      </c>
      <c r="H40" s="129">
        <v>7000</v>
      </c>
      <c r="I40" s="130"/>
      <c r="J40" s="28">
        <f t="shared" si="0"/>
        <v>321524</v>
      </c>
      <c r="L40"/>
    </row>
    <row r="41" spans="1:12" ht="48" customHeight="1" x14ac:dyDescent="0.25">
      <c r="A41" s="23">
        <f t="shared" si="1"/>
        <v>24</v>
      </c>
      <c r="B41" s="24">
        <f>'403858'!E3</f>
        <v>44512</v>
      </c>
      <c r="C41" s="78">
        <f>'403858'!A3</f>
        <v>403858</v>
      </c>
      <c r="D41" s="25" t="s">
        <v>913</v>
      </c>
      <c r="E41" s="25" t="s">
        <v>59</v>
      </c>
      <c r="F41" s="26">
        <v>41</v>
      </c>
      <c r="G41" s="123">
        <f>'403858'!N44</f>
        <v>794.56725000000029</v>
      </c>
      <c r="H41" s="129">
        <v>7000</v>
      </c>
      <c r="I41" s="130"/>
      <c r="J41" s="28">
        <f t="shared" si="0"/>
        <v>5561970.7500000019</v>
      </c>
      <c r="L41"/>
    </row>
    <row r="42" spans="1:12" ht="48" customHeight="1" x14ac:dyDescent="0.25">
      <c r="A42" s="23">
        <f t="shared" si="1"/>
        <v>25</v>
      </c>
      <c r="B42" s="24">
        <f>'403860'!E3</f>
        <v>44512</v>
      </c>
      <c r="C42" s="78">
        <f>'403860'!A3</f>
        <v>403860</v>
      </c>
      <c r="D42" s="25" t="s">
        <v>913</v>
      </c>
      <c r="E42" s="25" t="s">
        <v>59</v>
      </c>
      <c r="F42" s="26">
        <v>7</v>
      </c>
      <c r="G42" s="123">
        <f>'403860'!N10</f>
        <v>113.14775</v>
      </c>
      <c r="H42" s="129">
        <v>7000</v>
      </c>
      <c r="I42" s="130"/>
      <c r="J42" s="28">
        <f t="shared" si="0"/>
        <v>792034.25</v>
      </c>
      <c r="L42"/>
    </row>
    <row r="43" spans="1:12" ht="48" customHeight="1" x14ac:dyDescent="0.25">
      <c r="A43" s="23">
        <f t="shared" si="1"/>
        <v>26</v>
      </c>
      <c r="B43" s="24">
        <f>'403942'!E3</f>
        <v>44513</v>
      </c>
      <c r="C43" s="78">
        <f>'403942'!A3</f>
        <v>403942</v>
      </c>
      <c r="D43" s="25" t="s">
        <v>913</v>
      </c>
      <c r="E43" s="25" t="s">
        <v>59</v>
      </c>
      <c r="F43" s="26">
        <v>6</v>
      </c>
      <c r="G43" s="123">
        <f>'403942'!N9</f>
        <v>124.702</v>
      </c>
      <c r="H43" s="129">
        <v>7000</v>
      </c>
      <c r="I43" s="130"/>
      <c r="J43" s="28">
        <f t="shared" si="0"/>
        <v>872914</v>
      </c>
      <c r="L43"/>
    </row>
    <row r="44" spans="1:12" ht="48" customHeight="1" x14ac:dyDescent="0.25">
      <c r="A44" s="23">
        <f t="shared" si="1"/>
        <v>27</v>
      </c>
      <c r="B44" s="24">
        <f>'403864'!E3</f>
        <v>44513</v>
      </c>
      <c r="C44" s="78">
        <f>'403864'!A3</f>
        <v>403864</v>
      </c>
      <c r="D44" s="25" t="s">
        <v>913</v>
      </c>
      <c r="E44" s="25" t="s">
        <v>59</v>
      </c>
      <c r="F44" s="26">
        <v>46</v>
      </c>
      <c r="G44" s="123">
        <f>'403864'!N49</f>
        <v>874.76925000000006</v>
      </c>
      <c r="H44" s="129">
        <v>7000</v>
      </c>
      <c r="I44" s="130"/>
      <c r="J44" s="28">
        <f t="shared" si="0"/>
        <v>6123384.75</v>
      </c>
      <c r="L44"/>
    </row>
    <row r="45" spans="1:12" ht="48" customHeight="1" x14ac:dyDescent="0.25">
      <c r="A45" s="23">
        <f t="shared" si="1"/>
        <v>28</v>
      </c>
      <c r="B45" s="24">
        <f>'403866'!E3</f>
        <v>44513</v>
      </c>
      <c r="C45" s="78">
        <f>'403866'!A3</f>
        <v>403866</v>
      </c>
      <c r="D45" s="25" t="s">
        <v>913</v>
      </c>
      <c r="E45" s="25" t="s">
        <v>59</v>
      </c>
      <c r="F45" s="26">
        <v>26</v>
      </c>
      <c r="G45" s="123">
        <f>'403866'!N29</f>
        <v>272.75125000000003</v>
      </c>
      <c r="H45" s="129">
        <v>7000</v>
      </c>
      <c r="I45" s="130"/>
      <c r="J45" s="28">
        <f t="shared" si="0"/>
        <v>1909258.7500000002</v>
      </c>
      <c r="L45"/>
    </row>
    <row r="46" spans="1:12" ht="48" customHeight="1" x14ac:dyDescent="0.25">
      <c r="A46" s="23">
        <f t="shared" si="1"/>
        <v>29</v>
      </c>
      <c r="B46" s="24">
        <f>'403211'!E3</f>
        <v>44514</v>
      </c>
      <c r="C46" s="78">
        <f>'403211'!A3</f>
        <v>403211</v>
      </c>
      <c r="D46" s="25" t="s">
        <v>913</v>
      </c>
      <c r="E46" s="25" t="s">
        <v>59</v>
      </c>
      <c r="F46" s="26">
        <v>2</v>
      </c>
      <c r="G46" s="123">
        <f>'403211'!N5</f>
        <v>47.304249999999996</v>
      </c>
      <c r="H46" s="129">
        <v>7000</v>
      </c>
      <c r="I46" s="130"/>
      <c r="J46" s="28">
        <f t="shared" si="0"/>
        <v>331129.75</v>
      </c>
      <c r="L46"/>
    </row>
    <row r="47" spans="1:12" ht="48" customHeight="1" x14ac:dyDescent="0.25">
      <c r="A47" s="23">
        <f t="shared" si="1"/>
        <v>30</v>
      </c>
      <c r="B47" s="24">
        <f>'403870'!E3</f>
        <v>44514</v>
      </c>
      <c r="C47" s="78">
        <f>'403870'!A3</f>
        <v>403870</v>
      </c>
      <c r="D47" s="25" t="s">
        <v>913</v>
      </c>
      <c r="E47" s="25" t="s">
        <v>59</v>
      </c>
      <c r="F47" s="26">
        <v>34</v>
      </c>
      <c r="G47" s="123">
        <f>'403870'!N37</f>
        <v>700.14375000000007</v>
      </c>
      <c r="H47" s="129">
        <v>7000</v>
      </c>
      <c r="I47" s="130"/>
      <c r="J47" s="28">
        <f t="shared" si="0"/>
        <v>4901006.2500000009</v>
      </c>
      <c r="L47"/>
    </row>
    <row r="48" spans="1:12" ht="48" customHeight="1" x14ac:dyDescent="0.25">
      <c r="A48" s="23">
        <f t="shared" si="1"/>
        <v>31</v>
      </c>
      <c r="B48" s="24">
        <f>'404025'!E3</f>
        <v>44515</v>
      </c>
      <c r="C48" s="78">
        <f>'404025'!A3</f>
        <v>404025</v>
      </c>
      <c r="D48" s="25" t="s">
        <v>913</v>
      </c>
      <c r="E48" s="25" t="s">
        <v>59</v>
      </c>
      <c r="F48" s="26">
        <v>4</v>
      </c>
      <c r="G48" s="123">
        <f>'404025'!N7</f>
        <v>60.25</v>
      </c>
      <c r="H48" s="129">
        <v>7000</v>
      </c>
      <c r="I48" s="130"/>
      <c r="J48" s="28">
        <f t="shared" si="0"/>
        <v>421750</v>
      </c>
      <c r="L48"/>
    </row>
    <row r="49" spans="1:12" ht="48" customHeight="1" x14ac:dyDescent="0.25">
      <c r="A49" s="23">
        <f t="shared" si="1"/>
        <v>32</v>
      </c>
      <c r="B49" s="24">
        <f>'403872'!E3</f>
        <v>44515</v>
      </c>
      <c r="C49" s="78">
        <f>'403872'!A3</f>
        <v>403872</v>
      </c>
      <c r="D49" s="25" t="s">
        <v>913</v>
      </c>
      <c r="E49" s="25" t="s">
        <v>59</v>
      </c>
      <c r="F49" s="26">
        <v>16</v>
      </c>
      <c r="G49" s="123">
        <f>'403872'!N19</f>
        <v>288.70299999999997</v>
      </c>
      <c r="H49" s="129">
        <v>7000</v>
      </c>
      <c r="I49" s="130"/>
      <c r="J49" s="28">
        <f t="shared" si="0"/>
        <v>2020920.9999999998</v>
      </c>
      <c r="L49"/>
    </row>
    <row r="50" spans="1:12" ht="48" customHeight="1" x14ac:dyDescent="0.25">
      <c r="A50" s="23">
        <f>A49+1</f>
        <v>33</v>
      </c>
      <c r="B50" s="24">
        <f>'403214'!E3</f>
        <v>44516</v>
      </c>
      <c r="C50" s="78">
        <f>'403214'!A3</f>
        <v>403214</v>
      </c>
      <c r="D50" s="25" t="s">
        <v>913</v>
      </c>
      <c r="E50" s="25" t="s">
        <v>59</v>
      </c>
      <c r="F50" s="26">
        <v>7</v>
      </c>
      <c r="G50" s="123">
        <f>'403214'!N10</f>
        <v>143</v>
      </c>
      <c r="H50" s="129">
        <v>7000</v>
      </c>
      <c r="I50" s="130"/>
      <c r="J50" s="28">
        <f t="shared" si="0"/>
        <v>1001000</v>
      </c>
      <c r="L50"/>
    </row>
    <row r="51" spans="1:12" ht="48" customHeight="1" x14ac:dyDescent="0.25">
      <c r="A51" s="23">
        <f t="shared" ref="A51:A58" si="2">A50+1</f>
        <v>34</v>
      </c>
      <c r="B51" s="24">
        <f>'403874'!E3</f>
        <v>44516</v>
      </c>
      <c r="C51" s="78">
        <f>'403874'!A3</f>
        <v>403874</v>
      </c>
      <c r="D51" s="25" t="s">
        <v>913</v>
      </c>
      <c r="E51" s="25" t="s">
        <v>59</v>
      </c>
      <c r="F51" s="27">
        <v>30</v>
      </c>
      <c r="G51" s="122">
        <f>'403874'!N33</f>
        <v>544.58325000000002</v>
      </c>
      <c r="H51" s="133">
        <v>7000</v>
      </c>
      <c r="I51" s="133"/>
      <c r="J51" s="28">
        <f t="shared" si="0"/>
        <v>3812082.75</v>
      </c>
      <c r="L51"/>
    </row>
    <row r="52" spans="1:12" ht="48" customHeight="1" x14ac:dyDescent="0.25">
      <c r="A52" s="23">
        <f t="shared" si="2"/>
        <v>35</v>
      </c>
      <c r="B52" s="24">
        <f>'406053'!E3</f>
        <v>44517</v>
      </c>
      <c r="C52" s="78">
        <f>'406053'!A3</f>
        <v>406053</v>
      </c>
      <c r="D52" s="25" t="s">
        <v>913</v>
      </c>
      <c r="E52" s="25" t="s">
        <v>59</v>
      </c>
      <c r="F52" s="27">
        <v>3</v>
      </c>
      <c r="G52" s="122">
        <f>'406053'!N6</f>
        <v>44.127000000000002</v>
      </c>
      <c r="H52" s="133">
        <v>7000</v>
      </c>
      <c r="I52" s="133"/>
      <c r="J52" s="28">
        <f t="shared" si="0"/>
        <v>308889</v>
      </c>
      <c r="L52"/>
    </row>
    <row r="53" spans="1:12" ht="48" customHeight="1" x14ac:dyDescent="0.25">
      <c r="A53" s="23">
        <f t="shared" si="2"/>
        <v>36</v>
      </c>
      <c r="B53" s="24">
        <f>'403876'!E3</f>
        <v>44517</v>
      </c>
      <c r="C53" s="78">
        <f>'403876'!A3</f>
        <v>403876</v>
      </c>
      <c r="D53" s="25" t="s">
        <v>913</v>
      </c>
      <c r="E53" s="25" t="s">
        <v>59</v>
      </c>
      <c r="F53" s="27">
        <v>57</v>
      </c>
      <c r="G53" s="122">
        <f>'403876'!N60</f>
        <v>1225.3450000000003</v>
      </c>
      <c r="H53" s="133">
        <v>7000</v>
      </c>
      <c r="I53" s="133"/>
      <c r="J53" s="28">
        <f t="shared" si="0"/>
        <v>8577415.0000000019</v>
      </c>
      <c r="L53"/>
    </row>
    <row r="54" spans="1:12" ht="48" customHeight="1" x14ac:dyDescent="0.25">
      <c r="A54" s="23">
        <f t="shared" si="2"/>
        <v>37</v>
      </c>
      <c r="B54" s="24">
        <f>'403217'!E3</f>
        <v>44518</v>
      </c>
      <c r="C54" s="78">
        <f>'403217'!A3</f>
        <v>403217</v>
      </c>
      <c r="D54" s="25" t="s">
        <v>913</v>
      </c>
      <c r="E54" s="25" t="s">
        <v>59</v>
      </c>
      <c r="F54" s="27">
        <v>7</v>
      </c>
      <c r="G54" s="122">
        <f>'403217'!N10</f>
        <v>76.635000000000005</v>
      </c>
      <c r="H54" s="133">
        <v>7000</v>
      </c>
      <c r="I54" s="133"/>
      <c r="J54" s="28">
        <f t="shared" si="0"/>
        <v>536445</v>
      </c>
      <c r="L54"/>
    </row>
    <row r="55" spans="1:12" ht="48" customHeight="1" x14ac:dyDescent="0.25">
      <c r="A55" s="23">
        <f t="shared" si="2"/>
        <v>38</v>
      </c>
      <c r="B55" s="24">
        <f>'403882'!E3</f>
        <v>44518</v>
      </c>
      <c r="C55" s="78">
        <f>'403882'!A3</f>
        <v>403882</v>
      </c>
      <c r="D55" s="25" t="s">
        <v>913</v>
      </c>
      <c r="E55" s="25" t="s">
        <v>59</v>
      </c>
      <c r="F55" s="27">
        <v>45</v>
      </c>
      <c r="G55" s="122">
        <f>'403882'!N48</f>
        <v>672.6557499999999</v>
      </c>
      <c r="H55" s="133">
        <v>7000</v>
      </c>
      <c r="I55" s="133"/>
      <c r="J55" s="28">
        <f t="shared" si="0"/>
        <v>4708590.2499999991</v>
      </c>
      <c r="L55"/>
    </row>
    <row r="56" spans="1:12" ht="48" customHeight="1" x14ac:dyDescent="0.25">
      <c r="A56" s="23">
        <f t="shared" si="2"/>
        <v>39</v>
      </c>
      <c r="B56" s="24">
        <f>'404029'!E3</f>
        <v>44519</v>
      </c>
      <c r="C56" s="78">
        <f>'404029'!A3</f>
        <v>404029</v>
      </c>
      <c r="D56" s="25" t="s">
        <v>913</v>
      </c>
      <c r="E56" s="25" t="s">
        <v>59</v>
      </c>
      <c r="F56" s="27">
        <v>2</v>
      </c>
      <c r="G56" s="122">
        <f>'404029'!N5</f>
        <v>37</v>
      </c>
      <c r="H56" s="133">
        <v>7000</v>
      </c>
      <c r="I56" s="133"/>
      <c r="J56" s="28">
        <f t="shared" si="0"/>
        <v>259000</v>
      </c>
      <c r="L56"/>
    </row>
    <row r="57" spans="1:12" ht="48" customHeight="1" x14ac:dyDescent="0.25">
      <c r="A57" s="23">
        <f t="shared" si="2"/>
        <v>40</v>
      </c>
      <c r="B57" s="24">
        <f>'403888'!E3</f>
        <v>44519</v>
      </c>
      <c r="C57" s="78">
        <f>'403888'!A3</f>
        <v>403888</v>
      </c>
      <c r="D57" s="25" t="s">
        <v>913</v>
      </c>
      <c r="E57" s="25" t="s">
        <v>59</v>
      </c>
      <c r="F57" s="27">
        <v>40</v>
      </c>
      <c r="G57" s="122">
        <f>'403888'!N43</f>
        <v>570.15150000000006</v>
      </c>
      <c r="H57" s="133">
        <v>7000</v>
      </c>
      <c r="I57" s="133"/>
      <c r="J57" s="28">
        <f t="shared" si="0"/>
        <v>3991060.5000000005</v>
      </c>
      <c r="L57"/>
    </row>
    <row r="58" spans="1:12" ht="48" customHeight="1" x14ac:dyDescent="0.25">
      <c r="A58" s="23">
        <f t="shared" si="2"/>
        <v>41</v>
      </c>
      <c r="B58" s="24">
        <f>'403894'!E3</f>
        <v>44520</v>
      </c>
      <c r="C58" s="78">
        <f>'403894'!A3</f>
        <v>403894</v>
      </c>
      <c r="D58" s="25" t="s">
        <v>913</v>
      </c>
      <c r="E58" s="25" t="s">
        <v>59</v>
      </c>
      <c r="F58" s="27">
        <v>28</v>
      </c>
      <c r="G58" s="122">
        <f>'403894'!N31</f>
        <v>428.94600000000003</v>
      </c>
      <c r="H58" s="133">
        <v>7000</v>
      </c>
      <c r="I58" s="133"/>
      <c r="J58" s="28">
        <f t="shared" si="0"/>
        <v>3002622</v>
      </c>
      <c r="L58"/>
    </row>
    <row r="59" spans="1:12" ht="32.25" customHeight="1" thickBot="1" x14ac:dyDescent="0.3">
      <c r="A59" s="141" t="s">
        <v>30</v>
      </c>
      <c r="B59" s="142"/>
      <c r="C59" s="142"/>
      <c r="D59" s="142"/>
      <c r="E59" s="142"/>
      <c r="F59" s="142"/>
      <c r="G59" s="142"/>
      <c r="H59" s="142"/>
      <c r="I59" s="143"/>
      <c r="J59" s="29">
        <f>SUM(J18:J58)</f>
        <v>98576877</v>
      </c>
      <c r="L59" s="76"/>
    </row>
    <row r="60" spans="1:12" x14ac:dyDescent="0.25">
      <c r="A60" s="144"/>
      <c r="B60" s="144"/>
      <c r="C60" s="30"/>
      <c r="D60" s="30"/>
      <c r="E60" s="30"/>
      <c r="F60" s="30"/>
      <c r="G60" s="30"/>
      <c r="H60" s="31"/>
      <c r="I60" s="31"/>
      <c r="J60" s="32"/>
    </row>
    <row r="61" spans="1:12" x14ac:dyDescent="0.25">
      <c r="A61" s="79"/>
      <c r="B61" s="79"/>
      <c r="C61" s="79"/>
      <c r="D61" s="79"/>
      <c r="E61" s="79"/>
      <c r="F61" s="79"/>
      <c r="G61" s="33" t="s">
        <v>52</v>
      </c>
      <c r="H61" s="33"/>
      <c r="I61" s="31"/>
      <c r="J61" s="32">
        <v>0</v>
      </c>
      <c r="L61" s="34"/>
    </row>
    <row r="62" spans="1:12" x14ac:dyDescent="0.25">
      <c r="A62" s="79"/>
      <c r="B62" s="79"/>
      <c r="C62" s="79"/>
      <c r="D62" s="79"/>
      <c r="E62" s="79"/>
      <c r="F62" s="79"/>
      <c r="G62" s="86" t="s">
        <v>53</v>
      </c>
      <c r="H62" s="86"/>
      <c r="I62" s="87"/>
      <c r="J62" s="89">
        <f>J59-J61</f>
        <v>98576877</v>
      </c>
      <c r="L62" s="34"/>
    </row>
    <row r="63" spans="1:12" x14ac:dyDescent="0.25">
      <c r="A63" s="79"/>
      <c r="B63" s="79"/>
      <c r="C63" s="79"/>
      <c r="D63" s="79"/>
      <c r="E63" s="79"/>
      <c r="F63" s="79"/>
      <c r="G63" s="33" t="s">
        <v>31</v>
      </c>
      <c r="H63" s="33"/>
      <c r="I63" s="34" t="e">
        <f>#REF!*1%</f>
        <v>#REF!</v>
      </c>
      <c r="J63" s="32">
        <f>J62*1%</f>
        <v>985768.77</v>
      </c>
    </row>
    <row r="64" spans="1:12" ht="16.5" thickBot="1" x14ac:dyDescent="0.3">
      <c r="A64" s="79"/>
      <c r="B64" s="79"/>
      <c r="C64" s="79"/>
      <c r="D64" s="79"/>
      <c r="E64" s="79"/>
      <c r="F64" s="79"/>
      <c r="G64" s="88" t="s">
        <v>55</v>
      </c>
      <c r="H64" s="88"/>
      <c r="I64" s="35">
        <f>I60*10%</f>
        <v>0</v>
      </c>
      <c r="J64" s="35">
        <f>J62*2%</f>
        <v>1971537.54</v>
      </c>
    </row>
    <row r="65" spans="1:10" x14ac:dyDescent="0.25">
      <c r="E65" s="17"/>
      <c r="F65" s="17"/>
      <c r="G65" s="36" t="s">
        <v>56</v>
      </c>
      <c r="H65" s="36"/>
      <c r="I65" s="37" t="e">
        <f>I59+I63</f>
        <v>#REF!</v>
      </c>
      <c r="J65" s="37">
        <f>J62+J63-J64</f>
        <v>97591108.229999989</v>
      </c>
    </row>
    <row r="66" spans="1:10" x14ac:dyDescent="0.25">
      <c r="E66" s="17"/>
      <c r="F66" s="17"/>
      <c r="G66" s="36"/>
      <c r="H66" s="36"/>
      <c r="I66" s="37"/>
      <c r="J66" s="37"/>
    </row>
    <row r="67" spans="1:10" x14ac:dyDescent="0.25">
      <c r="A67" s="17" t="s">
        <v>917</v>
      </c>
      <c r="D67" s="17"/>
      <c r="E67" s="17"/>
      <c r="F67" s="17"/>
      <c r="G67" s="17"/>
      <c r="H67" s="36"/>
      <c r="I67" s="36"/>
      <c r="J67" s="37"/>
    </row>
    <row r="68" spans="1:10" x14ac:dyDescent="0.25">
      <c r="A68" s="38"/>
      <c r="D68" s="17"/>
      <c r="E68" s="17"/>
      <c r="F68" s="17"/>
      <c r="G68" s="17"/>
      <c r="H68" s="36"/>
      <c r="I68" s="36"/>
      <c r="J68" s="37"/>
    </row>
    <row r="69" spans="1:10" x14ac:dyDescent="0.25">
      <c r="D69" s="17"/>
      <c r="E69" s="17"/>
      <c r="F69" s="17"/>
      <c r="G69" s="17"/>
      <c r="H69" s="36"/>
      <c r="I69" s="36"/>
      <c r="J69" s="37"/>
    </row>
    <row r="70" spans="1:10" x14ac:dyDescent="0.25">
      <c r="A70" s="39" t="s">
        <v>33</v>
      </c>
    </row>
    <row r="71" spans="1:10" x14ac:dyDescent="0.25">
      <c r="A71" s="40" t="s">
        <v>34</v>
      </c>
      <c r="B71" s="41"/>
      <c r="C71" s="41"/>
      <c r="D71" s="42"/>
      <c r="E71" s="42"/>
      <c r="F71" s="42"/>
      <c r="G71" s="42"/>
    </row>
    <row r="72" spans="1:10" x14ac:dyDescent="0.25">
      <c r="A72" s="40" t="s">
        <v>35</v>
      </c>
      <c r="B72" s="41"/>
      <c r="C72" s="41"/>
      <c r="D72" s="42"/>
      <c r="E72" s="42"/>
      <c r="F72" s="42"/>
      <c r="G72" s="42"/>
    </row>
    <row r="73" spans="1:10" x14ac:dyDescent="0.25">
      <c r="A73" s="43" t="s">
        <v>36</v>
      </c>
      <c r="B73" s="44"/>
      <c r="C73" s="44"/>
      <c r="D73" s="42"/>
      <c r="E73" s="42"/>
      <c r="F73" s="42"/>
      <c r="G73" s="42"/>
    </row>
    <row r="74" spans="1:10" x14ac:dyDescent="0.25">
      <c r="A74" s="45" t="s">
        <v>8</v>
      </c>
      <c r="B74" s="46"/>
      <c r="C74" s="46"/>
      <c r="D74" s="42"/>
      <c r="E74" s="42"/>
      <c r="F74" s="42"/>
      <c r="G74" s="42"/>
    </row>
    <row r="75" spans="1:10" x14ac:dyDescent="0.25">
      <c r="A75" s="47"/>
      <c r="B75" s="47"/>
      <c r="C75" s="47"/>
    </row>
    <row r="76" spans="1:10" x14ac:dyDescent="0.25">
      <c r="H76" s="48" t="s">
        <v>37</v>
      </c>
      <c r="I76" s="131" t="str">
        <f>+J13</f>
        <v xml:space="preserve"> 29 November 21</v>
      </c>
      <c r="J76" s="132"/>
    </row>
    <row r="80" spans="1:10" ht="18" customHeight="1" x14ac:dyDescent="0.25"/>
    <row r="81" spans="8:10" ht="17.25" customHeight="1" x14ac:dyDescent="0.25"/>
    <row r="83" spans="8:10" x14ac:dyDescent="0.25">
      <c r="H83" s="134" t="s">
        <v>38</v>
      </c>
      <c r="I83" s="134"/>
      <c r="J83" s="134"/>
    </row>
  </sheetData>
  <mergeCells count="50">
    <mergeCell ref="A10:J10"/>
    <mergeCell ref="H17:I17"/>
    <mergeCell ref="H18:I18"/>
    <mergeCell ref="A59:I59"/>
    <mergeCell ref="A60:B60"/>
    <mergeCell ref="H19:I19"/>
    <mergeCell ref="H20:I20"/>
    <mergeCell ref="H24:I24"/>
    <mergeCell ref="H22:I22"/>
    <mergeCell ref="H21:I21"/>
    <mergeCell ref="H25:I25"/>
    <mergeCell ref="H28:I28"/>
    <mergeCell ref="H46:I46"/>
    <mergeCell ref="H23:I23"/>
    <mergeCell ref="H38:I38"/>
    <mergeCell ref="H40:I40"/>
    <mergeCell ref="G12:H12"/>
    <mergeCell ref="H26:I26"/>
    <mergeCell ref="H27:I27"/>
    <mergeCell ref="H29:I29"/>
    <mergeCell ref="H30:I30"/>
    <mergeCell ref="H57:I57"/>
    <mergeCell ref="H58:I58"/>
    <mergeCell ref="H83:J83"/>
    <mergeCell ref="G14:H14"/>
    <mergeCell ref="G13:H13"/>
    <mergeCell ref="H31:I31"/>
    <mergeCell ref="H32:I32"/>
    <mergeCell ref="H33:I33"/>
    <mergeCell ref="H34:I34"/>
    <mergeCell ref="H35:I35"/>
    <mergeCell ref="H36:I36"/>
    <mergeCell ref="H37:I37"/>
    <mergeCell ref="H39:I39"/>
    <mergeCell ref="H41:I41"/>
    <mergeCell ref="H42:I42"/>
    <mergeCell ref="I76:J76"/>
    <mergeCell ref="H43:I43"/>
    <mergeCell ref="H44:I44"/>
    <mergeCell ref="H45:I45"/>
    <mergeCell ref="H47:I47"/>
    <mergeCell ref="H48:I48"/>
    <mergeCell ref="H49:I49"/>
    <mergeCell ref="H50:I50"/>
    <mergeCell ref="H51:I51"/>
    <mergeCell ref="H52:I52"/>
    <mergeCell ref="H53:I53"/>
    <mergeCell ref="H54:I54"/>
    <mergeCell ref="H55:I55"/>
    <mergeCell ref="H56:I56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9" sqref="O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116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15">
        <v>404008</v>
      </c>
      <c r="B3" s="68" t="s">
        <v>210</v>
      </c>
      <c r="C3" s="9" t="s">
        <v>211</v>
      </c>
      <c r="D3" s="70" t="s">
        <v>59</v>
      </c>
      <c r="E3" s="13">
        <v>44505</v>
      </c>
      <c r="F3" s="70" t="s">
        <v>169</v>
      </c>
      <c r="G3" s="13">
        <v>44507</v>
      </c>
      <c r="H3" s="10" t="s">
        <v>170</v>
      </c>
      <c r="I3" s="1">
        <v>28</v>
      </c>
      <c r="J3" s="1">
        <v>25</v>
      </c>
      <c r="K3" s="1">
        <v>20</v>
      </c>
      <c r="L3" s="1">
        <v>8</v>
      </c>
      <c r="M3" s="74">
        <v>3.5</v>
      </c>
      <c r="N3" s="8">
        <v>8</v>
      </c>
      <c r="O3" s="58">
        <v>7000</v>
      </c>
      <c r="P3" s="59">
        <f>Table224578910112345678910[[#This Row],[PEMBULATAN]]*O3</f>
        <v>56000</v>
      </c>
    </row>
    <row r="4" spans="1:16" ht="26.25" customHeight="1" x14ac:dyDescent="0.2">
      <c r="A4" s="14"/>
      <c r="B4" s="69"/>
      <c r="C4" s="9" t="s">
        <v>212</v>
      </c>
      <c r="D4" s="70" t="s">
        <v>59</v>
      </c>
      <c r="E4" s="13">
        <v>44505</v>
      </c>
      <c r="F4" s="70" t="s">
        <v>169</v>
      </c>
      <c r="G4" s="13">
        <v>44507</v>
      </c>
      <c r="H4" s="10" t="s">
        <v>170</v>
      </c>
      <c r="I4" s="1">
        <v>52</v>
      </c>
      <c r="J4" s="1">
        <v>34</v>
      </c>
      <c r="K4" s="1">
        <v>28</v>
      </c>
      <c r="L4" s="1">
        <v>5</v>
      </c>
      <c r="M4" s="74">
        <v>12.375999999999999</v>
      </c>
      <c r="N4" s="8">
        <v>13</v>
      </c>
      <c r="O4" s="58">
        <v>7000</v>
      </c>
      <c r="P4" s="59">
        <f>Table224578910112345678910[[#This Row],[PEMBULATAN]]*O4</f>
        <v>91000</v>
      </c>
    </row>
    <row r="5" spans="1:16" ht="26.25" customHeight="1" x14ac:dyDescent="0.2">
      <c r="A5" s="14"/>
      <c r="B5" s="14"/>
      <c r="C5" s="9" t="s">
        <v>213</v>
      </c>
      <c r="D5" s="70" t="s">
        <v>59</v>
      </c>
      <c r="E5" s="13">
        <v>44505</v>
      </c>
      <c r="F5" s="70" t="s">
        <v>169</v>
      </c>
      <c r="G5" s="13">
        <v>44507</v>
      </c>
      <c r="H5" s="10" t="s">
        <v>170</v>
      </c>
      <c r="I5" s="1">
        <v>65</v>
      </c>
      <c r="J5" s="1">
        <v>50</v>
      </c>
      <c r="K5" s="1">
        <v>23</v>
      </c>
      <c r="L5" s="1">
        <v>12</v>
      </c>
      <c r="M5" s="74">
        <v>18.6875</v>
      </c>
      <c r="N5" s="90">
        <v>18.6875</v>
      </c>
      <c r="O5" s="58">
        <v>7000</v>
      </c>
      <c r="P5" s="59">
        <f>Table224578910112345678910[[#This Row],[PEMBULATAN]]*O5</f>
        <v>130812.5</v>
      </c>
    </row>
    <row r="6" spans="1:16" ht="26.25" customHeight="1" x14ac:dyDescent="0.2">
      <c r="A6" s="14"/>
      <c r="B6" s="14"/>
      <c r="C6" s="67" t="s">
        <v>214</v>
      </c>
      <c r="D6" s="72" t="s">
        <v>59</v>
      </c>
      <c r="E6" s="13">
        <v>44505</v>
      </c>
      <c r="F6" s="70" t="s">
        <v>169</v>
      </c>
      <c r="G6" s="13">
        <v>44507</v>
      </c>
      <c r="H6" s="71" t="s">
        <v>170</v>
      </c>
      <c r="I6" s="16">
        <v>45</v>
      </c>
      <c r="J6" s="16">
        <v>40</v>
      </c>
      <c r="K6" s="16">
        <v>35</v>
      </c>
      <c r="L6" s="16">
        <v>15</v>
      </c>
      <c r="M6" s="75">
        <v>15.75</v>
      </c>
      <c r="N6" s="90">
        <v>15.75</v>
      </c>
      <c r="O6" s="58">
        <v>7000</v>
      </c>
      <c r="P6" s="59">
        <f>Table224578910112345678910[[#This Row],[PEMBULATAN]]*O6</f>
        <v>110250</v>
      </c>
    </row>
    <row r="7" spans="1:16" ht="26.25" customHeight="1" x14ac:dyDescent="0.2">
      <c r="A7" s="14"/>
      <c r="B7" s="14"/>
      <c r="C7" s="67" t="s">
        <v>215</v>
      </c>
      <c r="D7" s="72" t="s">
        <v>59</v>
      </c>
      <c r="E7" s="13">
        <v>44505</v>
      </c>
      <c r="F7" s="70" t="s">
        <v>169</v>
      </c>
      <c r="G7" s="13">
        <v>44507</v>
      </c>
      <c r="H7" s="71" t="s">
        <v>170</v>
      </c>
      <c r="I7" s="16">
        <v>156</v>
      </c>
      <c r="J7" s="16">
        <v>49</v>
      </c>
      <c r="K7" s="16">
        <v>10</v>
      </c>
      <c r="L7" s="16">
        <v>15</v>
      </c>
      <c r="M7" s="75">
        <v>19.11</v>
      </c>
      <c r="N7" s="90">
        <v>19.11</v>
      </c>
      <c r="O7" s="58">
        <v>7000</v>
      </c>
      <c r="P7" s="59">
        <f>Table224578910112345678910[[#This Row],[PEMBULATAN]]*O7</f>
        <v>133770</v>
      </c>
    </row>
    <row r="8" spans="1:16" ht="22.5" customHeight="1" x14ac:dyDescent="0.2">
      <c r="A8" s="145" t="s">
        <v>30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7"/>
      <c r="M8" s="73">
        <f>SUBTOTAL(109,Table224578910112345678910[KG VOLUME])</f>
        <v>69.42349999999999</v>
      </c>
      <c r="N8" s="62">
        <f>SUM(N3:N7)</f>
        <v>74.547499999999999</v>
      </c>
      <c r="O8" s="148">
        <f>SUM(P3:P7)</f>
        <v>521832.5</v>
      </c>
      <c r="P8" s="149"/>
    </row>
    <row r="9" spans="1:16" ht="18" customHeight="1" x14ac:dyDescent="0.2">
      <c r="A9" s="80"/>
      <c r="B9" s="50" t="s">
        <v>42</v>
      </c>
      <c r="C9" s="49"/>
      <c r="D9" s="51" t="s">
        <v>43</v>
      </c>
      <c r="E9" s="80"/>
      <c r="F9" s="80"/>
      <c r="G9" s="80"/>
      <c r="H9" s="80"/>
      <c r="I9" s="80"/>
      <c r="J9" s="80"/>
      <c r="K9" s="80"/>
      <c r="L9" s="80"/>
      <c r="M9" s="81"/>
      <c r="N9" s="82" t="s">
        <v>52</v>
      </c>
      <c r="O9" s="83"/>
      <c r="P9" s="83">
        <v>0</v>
      </c>
    </row>
    <row r="10" spans="1:16" ht="18" customHeight="1" thickBot="1" x14ac:dyDescent="0.25">
      <c r="A10" s="80"/>
      <c r="B10" s="50"/>
      <c r="C10" s="49"/>
      <c r="D10" s="51"/>
      <c r="E10" s="80"/>
      <c r="F10" s="80"/>
      <c r="G10" s="80"/>
      <c r="H10" s="80"/>
      <c r="I10" s="80"/>
      <c r="J10" s="80"/>
      <c r="K10" s="80"/>
      <c r="L10" s="80"/>
      <c r="M10" s="81"/>
      <c r="N10" s="84" t="s">
        <v>53</v>
      </c>
      <c r="O10" s="85"/>
      <c r="P10" s="85">
        <f>O8-P9</f>
        <v>521832.5</v>
      </c>
    </row>
    <row r="11" spans="1:16" ht="18" customHeight="1" x14ac:dyDescent="0.2">
      <c r="A11" s="11"/>
      <c r="H11" s="57"/>
      <c r="N11" s="56" t="s">
        <v>31</v>
      </c>
      <c r="P11" s="63">
        <f>P10*1%</f>
        <v>5218.3249999999998</v>
      </c>
    </row>
    <row r="12" spans="1:16" ht="18" customHeight="1" thickBot="1" x14ac:dyDescent="0.25">
      <c r="A12" s="11"/>
      <c r="H12" s="57"/>
      <c r="N12" s="56" t="s">
        <v>54</v>
      </c>
      <c r="P12" s="65">
        <f>P10*2%</f>
        <v>10436.65</v>
      </c>
    </row>
    <row r="13" spans="1:16" ht="18" customHeight="1" x14ac:dyDescent="0.2">
      <c r="A13" s="11"/>
      <c r="H13" s="57"/>
      <c r="N13" s="60" t="s">
        <v>32</v>
      </c>
      <c r="O13" s="61"/>
      <c r="P13" s="64">
        <f>P10+P11-P12</f>
        <v>516614.17499999993</v>
      </c>
    </row>
    <row r="15" spans="1:16" x14ac:dyDescent="0.2">
      <c r="A15" s="11"/>
      <c r="H15" s="57"/>
      <c r="P15" s="65"/>
    </row>
    <row r="16" spans="1:16" x14ac:dyDescent="0.2">
      <c r="A16" s="11"/>
      <c r="H16" s="57"/>
      <c r="O16" s="52"/>
      <c r="P16" s="65"/>
    </row>
    <row r="17" spans="1:16" s="3" customFormat="1" x14ac:dyDescent="0.25">
      <c r="A17" s="11"/>
      <c r="B17" s="2"/>
      <c r="C17" s="2"/>
      <c r="E17" s="12"/>
      <c r="H17" s="57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57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57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7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7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7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7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7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7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57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57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57"/>
      <c r="N28" s="15"/>
      <c r="O28" s="15"/>
      <c r="P28" s="15"/>
    </row>
  </sheetData>
  <mergeCells count="2">
    <mergeCell ref="A8:L8"/>
    <mergeCell ref="O8:P8"/>
  </mergeCells>
  <conditionalFormatting sqref="B3">
    <cfRule type="duplicateValues" dxfId="560" priority="2"/>
  </conditionalFormatting>
  <conditionalFormatting sqref="B4">
    <cfRule type="duplicateValues" dxfId="559" priority="1"/>
  </conditionalFormatting>
  <conditionalFormatting sqref="B5:B7">
    <cfRule type="duplicateValues" dxfId="558" priority="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8"/>
  <sheetViews>
    <sheetView zoomScale="110" zoomScaleNormal="110" workbookViewId="0">
      <pane xSplit="3" ySplit="2" topLeftCell="D45" activePane="bottomRight" state="frozen"/>
      <selection pane="topRight" activeCell="B1" sqref="B1"/>
      <selection pane="bottomLeft" activeCell="A3" sqref="A3"/>
      <selection pane="bottomRight" activeCell="O49" sqref="O49"/>
    </sheetView>
  </sheetViews>
  <sheetFormatPr defaultRowHeight="15" x14ac:dyDescent="0.2"/>
  <cols>
    <col min="1" max="1" width="8" style="4" customWidth="1"/>
    <col min="2" max="2" width="19.5703125" style="2" customWidth="1"/>
    <col min="3" max="3" width="15.285156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0">
        <v>402331</v>
      </c>
      <c r="B3" s="100" t="s">
        <v>216</v>
      </c>
      <c r="C3" s="1" t="s">
        <v>217</v>
      </c>
      <c r="D3" s="70" t="s">
        <v>59</v>
      </c>
      <c r="E3" s="96">
        <v>44505</v>
      </c>
      <c r="F3" s="1" t="s">
        <v>169</v>
      </c>
      <c r="G3" s="96">
        <v>44507</v>
      </c>
      <c r="H3" s="1" t="s">
        <v>170</v>
      </c>
      <c r="I3" s="1">
        <v>45</v>
      </c>
      <c r="J3" s="1">
        <v>46</v>
      </c>
      <c r="K3" s="1">
        <v>56</v>
      </c>
      <c r="L3" s="1">
        <v>9</v>
      </c>
      <c r="M3" s="74">
        <v>28.98</v>
      </c>
      <c r="N3" s="99">
        <v>28.98</v>
      </c>
      <c r="O3" s="58">
        <v>7000</v>
      </c>
      <c r="P3" s="59">
        <f>Table22457891011234567891011[[#This Row],[PEMBULATAN]]*O3</f>
        <v>202860</v>
      </c>
    </row>
    <row r="4" spans="1:16" ht="26.25" customHeight="1" x14ac:dyDescent="0.2">
      <c r="A4" s="101"/>
      <c r="B4" s="101"/>
      <c r="C4" s="1" t="s">
        <v>218</v>
      </c>
      <c r="D4" s="70" t="s">
        <v>59</v>
      </c>
      <c r="E4" s="96">
        <v>44505</v>
      </c>
      <c r="F4" s="1" t="s">
        <v>169</v>
      </c>
      <c r="G4" s="96">
        <v>44507</v>
      </c>
      <c r="H4" s="1" t="s">
        <v>170</v>
      </c>
      <c r="I4" s="1">
        <v>50</v>
      </c>
      <c r="J4" s="1">
        <v>33</v>
      </c>
      <c r="K4" s="1">
        <v>17</v>
      </c>
      <c r="L4" s="1">
        <v>8</v>
      </c>
      <c r="M4" s="74">
        <v>7.0125000000000002</v>
      </c>
      <c r="N4" s="99">
        <v>8</v>
      </c>
      <c r="O4" s="58">
        <v>7000</v>
      </c>
      <c r="P4" s="59">
        <f>Table22457891011234567891011[[#This Row],[PEMBULATAN]]*O4</f>
        <v>56000</v>
      </c>
    </row>
    <row r="5" spans="1:16" ht="26.25" customHeight="1" x14ac:dyDescent="0.2">
      <c r="A5" s="101"/>
      <c r="B5" s="101"/>
      <c r="C5" s="1" t="s">
        <v>219</v>
      </c>
      <c r="D5" s="70" t="s">
        <v>59</v>
      </c>
      <c r="E5" s="96">
        <v>44505</v>
      </c>
      <c r="F5" s="1" t="s">
        <v>169</v>
      </c>
      <c r="G5" s="96">
        <v>44507</v>
      </c>
      <c r="H5" s="1" t="s">
        <v>170</v>
      </c>
      <c r="I5" s="1">
        <v>53</v>
      </c>
      <c r="J5" s="1">
        <v>45</v>
      </c>
      <c r="K5" s="1">
        <v>31</v>
      </c>
      <c r="L5" s="1">
        <v>15</v>
      </c>
      <c r="M5" s="74">
        <v>18.483750000000001</v>
      </c>
      <c r="N5" s="99">
        <v>19</v>
      </c>
      <c r="O5" s="58">
        <v>7000</v>
      </c>
      <c r="P5" s="59">
        <f>Table22457891011234567891011[[#This Row],[PEMBULATAN]]*O5</f>
        <v>133000</v>
      </c>
    </row>
    <row r="6" spans="1:16" ht="26.25" customHeight="1" x14ac:dyDescent="0.2">
      <c r="A6" s="101"/>
      <c r="B6" s="101"/>
      <c r="C6" s="1" t="s">
        <v>220</v>
      </c>
      <c r="D6" s="70" t="s">
        <v>59</v>
      </c>
      <c r="E6" s="96">
        <v>44505</v>
      </c>
      <c r="F6" s="1" t="s">
        <v>169</v>
      </c>
      <c r="G6" s="96">
        <v>44507</v>
      </c>
      <c r="H6" s="1" t="s">
        <v>170</v>
      </c>
      <c r="I6" s="1">
        <v>60</v>
      </c>
      <c r="J6" s="1">
        <v>40</v>
      </c>
      <c r="K6" s="1">
        <v>50</v>
      </c>
      <c r="L6" s="1">
        <v>19</v>
      </c>
      <c r="M6" s="74">
        <v>30</v>
      </c>
      <c r="N6" s="99">
        <v>30</v>
      </c>
      <c r="O6" s="58">
        <v>7000</v>
      </c>
      <c r="P6" s="59">
        <f>Table22457891011234567891011[[#This Row],[PEMBULATAN]]*O6</f>
        <v>210000</v>
      </c>
    </row>
    <row r="7" spans="1:16" ht="26.25" customHeight="1" x14ac:dyDescent="0.2">
      <c r="A7" s="101"/>
      <c r="B7" s="101"/>
      <c r="C7" s="1" t="s">
        <v>221</v>
      </c>
      <c r="D7" s="70" t="s">
        <v>59</v>
      </c>
      <c r="E7" s="96">
        <v>44505</v>
      </c>
      <c r="F7" s="1" t="s">
        <v>169</v>
      </c>
      <c r="G7" s="96">
        <v>44507</v>
      </c>
      <c r="H7" s="1" t="s">
        <v>170</v>
      </c>
      <c r="I7" s="1">
        <v>60</v>
      </c>
      <c r="J7" s="1">
        <v>35</v>
      </c>
      <c r="K7" s="1">
        <v>30</v>
      </c>
      <c r="L7" s="1">
        <v>14</v>
      </c>
      <c r="M7" s="74">
        <v>15.75</v>
      </c>
      <c r="N7" s="99">
        <v>15.75</v>
      </c>
      <c r="O7" s="58">
        <v>7000</v>
      </c>
      <c r="P7" s="59">
        <f>Table22457891011234567891011[[#This Row],[PEMBULATAN]]*O7</f>
        <v>110250</v>
      </c>
    </row>
    <row r="8" spans="1:16" ht="26.25" customHeight="1" x14ac:dyDescent="0.2">
      <c r="A8" s="101"/>
      <c r="B8" s="101"/>
      <c r="C8" s="1" t="s">
        <v>222</v>
      </c>
      <c r="D8" s="70" t="s">
        <v>59</v>
      </c>
      <c r="E8" s="96">
        <v>44505</v>
      </c>
      <c r="F8" s="1" t="s">
        <v>169</v>
      </c>
      <c r="G8" s="96">
        <v>44507</v>
      </c>
      <c r="H8" s="1" t="s">
        <v>170</v>
      </c>
      <c r="I8" s="1">
        <v>50</v>
      </c>
      <c r="J8" s="1">
        <v>30</v>
      </c>
      <c r="K8" s="1">
        <v>40</v>
      </c>
      <c r="L8" s="1">
        <v>13</v>
      </c>
      <c r="M8" s="74">
        <v>15</v>
      </c>
      <c r="N8" s="99">
        <v>15</v>
      </c>
      <c r="O8" s="58">
        <v>7000</v>
      </c>
      <c r="P8" s="59">
        <f>Table22457891011234567891011[[#This Row],[PEMBULATAN]]*O8</f>
        <v>105000</v>
      </c>
    </row>
    <row r="9" spans="1:16" ht="26.25" customHeight="1" x14ac:dyDescent="0.2">
      <c r="A9" s="101"/>
      <c r="B9" s="101"/>
      <c r="C9" s="1" t="s">
        <v>223</v>
      </c>
      <c r="D9" s="70" t="s">
        <v>59</v>
      </c>
      <c r="E9" s="96">
        <v>44505</v>
      </c>
      <c r="F9" s="1" t="s">
        <v>169</v>
      </c>
      <c r="G9" s="96">
        <v>44507</v>
      </c>
      <c r="H9" s="1" t="s">
        <v>170</v>
      </c>
      <c r="I9" s="1">
        <v>44</v>
      </c>
      <c r="J9" s="1">
        <v>26</v>
      </c>
      <c r="K9" s="1">
        <v>20</v>
      </c>
      <c r="L9" s="1">
        <v>8</v>
      </c>
      <c r="M9" s="74">
        <v>5.72</v>
      </c>
      <c r="N9" s="99">
        <v>8</v>
      </c>
      <c r="O9" s="58">
        <v>7000</v>
      </c>
      <c r="P9" s="59">
        <f>Table22457891011234567891011[[#This Row],[PEMBULATAN]]*O9</f>
        <v>56000</v>
      </c>
    </row>
    <row r="10" spans="1:16" ht="26.25" customHeight="1" x14ac:dyDescent="0.2">
      <c r="A10" s="101"/>
      <c r="B10" s="101"/>
      <c r="C10" s="97" t="s">
        <v>224</v>
      </c>
      <c r="D10" s="70" t="s">
        <v>59</v>
      </c>
      <c r="E10" s="96">
        <v>44505</v>
      </c>
      <c r="F10" s="1" t="s">
        <v>169</v>
      </c>
      <c r="G10" s="96">
        <v>44507</v>
      </c>
      <c r="H10" s="1" t="s">
        <v>170</v>
      </c>
      <c r="I10" s="1">
        <v>37</v>
      </c>
      <c r="J10" s="1">
        <v>24</v>
      </c>
      <c r="K10" s="1">
        <v>25</v>
      </c>
      <c r="L10" s="1">
        <v>19</v>
      </c>
      <c r="M10" s="74">
        <v>5.55</v>
      </c>
      <c r="N10" s="99">
        <v>19</v>
      </c>
      <c r="O10" s="58">
        <v>7000</v>
      </c>
      <c r="P10" s="59">
        <f>Table22457891011234567891011[[#This Row],[PEMBULATAN]]*O10</f>
        <v>133000</v>
      </c>
    </row>
    <row r="11" spans="1:16" ht="26.25" customHeight="1" x14ac:dyDescent="0.2">
      <c r="A11" s="101"/>
      <c r="B11" s="101"/>
      <c r="C11" s="1" t="s">
        <v>225</v>
      </c>
      <c r="D11" s="70" t="s">
        <v>59</v>
      </c>
      <c r="E11" s="96">
        <v>44505</v>
      </c>
      <c r="F11" s="1" t="s">
        <v>169</v>
      </c>
      <c r="G11" s="96">
        <v>44507</v>
      </c>
      <c r="H11" s="1" t="s">
        <v>170</v>
      </c>
      <c r="I11" s="1">
        <v>56</v>
      </c>
      <c r="J11" s="1">
        <v>40</v>
      </c>
      <c r="K11" s="1">
        <v>35</v>
      </c>
      <c r="L11" s="1">
        <v>50</v>
      </c>
      <c r="M11" s="74">
        <v>19.600000000000001</v>
      </c>
      <c r="N11" s="99">
        <v>50</v>
      </c>
      <c r="O11" s="58">
        <v>7000</v>
      </c>
      <c r="P11" s="59">
        <f>Table22457891011234567891011[[#This Row],[PEMBULATAN]]*O11</f>
        <v>350000</v>
      </c>
    </row>
    <row r="12" spans="1:16" ht="26.25" customHeight="1" x14ac:dyDescent="0.2">
      <c r="A12" s="101"/>
      <c r="B12" s="101"/>
      <c r="C12" s="1" t="s">
        <v>226</v>
      </c>
      <c r="D12" s="70" t="s">
        <v>59</v>
      </c>
      <c r="E12" s="96">
        <v>44505</v>
      </c>
      <c r="F12" s="1" t="s">
        <v>169</v>
      </c>
      <c r="G12" s="96">
        <v>44507</v>
      </c>
      <c r="H12" s="1" t="s">
        <v>170</v>
      </c>
      <c r="I12" s="1">
        <v>35</v>
      </c>
      <c r="J12" s="1">
        <v>26</v>
      </c>
      <c r="K12" s="1">
        <v>28</v>
      </c>
      <c r="L12" s="1">
        <v>6</v>
      </c>
      <c r="M12" s="74">
        <v>6.37</v>
      </c>
      <c r="N12" s="99">
        <v>7</v>
      </c>
      <c r="O12" s="58">
        <v>7000</v>
      </c>
      <c r="P12" s="59">
        <f>Table22457891011234567891011[[#This Row],[PEMBULATAN]]*O12</f>
        <v>49000</v>
      </c>
    </row>
    <row r="13" spans="1:16" ht="26.25" customHeight="1" x14ac:dyDescent="0.2">
      <c r="A13" s="101"/>
      <c r="B13" s="101"/>
      <c r="C13" s="1" t="s">
        <v>227</v>
      </c>
      <c r="D13" s="70" t="s">
        <v>59</v>
      </c>
      <c r="E13" s="96">
        <v>44505</v>
      </c>
      <c r="F13" s="1" t="s">
        <v>169</v>
      </c>
      <c r="G13" s="96">
        <v>44507</v>
      </c>
      <c r="H13" s="1" t="s">
        <v>170</v>
      </c>
      <c r="I13" s="1">
        <v>53</v>
      </c>
      <c r="J13" s="1">
        <v>51</v>
      </c>
      <c r="K13" s="1">
        <v>16</v>
      </c>
      <c r="L13" s="1">
        <v>16</v>
      </c>
      <c r="M13" s="74">
        <v>10.811999999999999</v>
      </c>
      <c r="N13" s="99">
        <v>16</v>
      </c>
      <c r="O13" s="58">
        <v>7000</v>
      </c>
      <c r="P13" s="59">
        <f>Table22457891011234567891011[[#This Row],[PEMBULATAN]]*O13</f>
        <v>112000</v>
      </c>
    </row>
    <row r="14" spans="1:16" ht="26.25" customHeight="1" x14ac:dyDescent="0.2">
      <c r="A14" s="101"/>
      <c r="B14" s="101"/>
      <c r="C14" s="1" t="s">
        <v>228</v>
      </c>
      <c r="D14" s="70" t="s">
        <v>59</v>
      </c>
      <c r="E14" s="96">
        <v>44505</v>
      </c>
      <c r="F14" s="1" t="s">
        <v>169</v>
      </c>
      <c r="G14" s="96">
        <v>44507</v>
      </c>
      <c r="H14" s="1" t="s">
        <v>170</v>
      </c>
      <c r="I14" s="1">
        <v>51</v>
      </c>
      <c r="J14" s="1">
        <v>44</v>
      </c>
      <c r="K14" s="1">
        <v>10</v>
      </c>
      <c r="L14" s="1">
        <v>4</v>
      </c>
      <c r="M14" s="74">
        <v>5.61</v>
      </c>
      <c r="N14" s="99">
        <v>5.61</v>
      </c>
      <c r="O14" s="58">
        <v>7000</v>
      </c>
      <c r="P14" s="59">
        <f>Table22457891011234567891011[[#This Row],[PEMBULATAN]]*O14</f>
        <v>39270</v>
      </c>
    </row>
    <row r="15" spans="1:16" ht="26.25" customHeight="1" x14ac:dyDescent="0.2">
      <c r="A15" s="101"/>
      <c r="B15" s="101"/>
      <c r="C15" s="1" t="s">
        <v>229</v>
      </c>
      <c r="D15" s="70" t="s">
        <v>59</v>
      </c>
      <c r="E15" s="96">
        <v>44505</v>
      </c>
      <c r="F15" s="1" t="s">
        <v>169</v>
      </c>
      <c r="G15" s="96">
        <v>44507</v>
      </c>
      <c r="H15" s="1" t="s">
        <v>170</v>
      </c>
      <c r="I15" s="1">
        <v>37</v>
      </c>
      <c r="J15" s="1">
        <v>24</v>
      </c>
      <c r="K15" s="1">
        <v>28</v>
      </c>
      <c r="L15" s="1">
        <v>9</v>
      </c>
      <c r="M15" s="74">
        <v>6.2160000000000002</v>
      </c>
      <c r="N15" s="99">
        <v>9</v>
      </c>
      <c r="O15" s="58">
        <v>7000</v>
      </c>
      <c r="P15" s="59">
        <f>Table22457891011234567891011[[#This Row],[PEMBULATAN]]*O15</f>
        <v>63000</v>
      </c>
    </row>
    <row r="16" spans="1:16" ht="26.25" customHeight="1" x14ac:dyDescent="0.2">
      <c r="A16" s="101"/>
      <c r="B16" s="101"/>
      <c r="C16" s="1" t="s">
        <v>230</v>
      </c>
      <c r="D16" s="70" t="s">
        <v>59</v>
      </c>
      <c r="E16" s="96">
        <v>44505</v>
      </c>
      <c r="F16" s="1" t="s">
        <v>169</v>
      </c>
      <c r="G16" s="96">
        <v>44507</v>
      </c>
      <c r="H16" s="1" t="s">
        <v>170</v>
      </c>
      <c r="I16" s="1">
        <v>47</v>
      </c>
      <c r="J16" s="1">
        <v>36</v>
      </c>
      <c r="K16" s="1">
        <v>18</v>
      </c>
      <c r="L16" s="1">
        <v>12</v>
      </c>
      <c r="M16" s="74">
        <v>7.6139999999999999</v>
      </c>
      <c r="N16" s="99">
        <v>12</v>
      </c>
      <c r="O16" s="58">
        <v>7000</v>
      </c>
      <c r="P16" s="59">
        <f>Table22457891011234567891011[[#This Row],[PEMBULATAN]]*O16</f>
        <v>84000</v>
      </c>
    </row>
    <row r="17" spans="1:16" ht="26.25" customHeight="1" x14ac:dyDescent="0.2">
      <c r="A17" s="101"/>
      <c r="B17" s="101"/>
      <c r="C17" s="1" t="s">
        <v>231</v>
      </c>
      <c r="D17" s="70" t="s">
        <v>59</v>
      </c>
      <c r="E17" s="96">
        <v>44505</v>
      </c>
      <c r="F17" s="1" t="s">
        <v>169</v>
      </c>
      <c r="G17" s="96">
        <v>44507</v>
      </c>
      <c r="H17" s="1" t="s">
        <v>170</v>
      </c>
      <c r="I17" s="1">
        <v>60</v>
      </c>
      <c r="J17" s="1">
        <v>38</v>
      </c>
      <c r="K17" s="1">
        <v>30</v>
      </c>
      <c r="L17" s="1">
        <v>8</v>
      </c>
      <c r="M17" s="74">
        <v>17.100000000000001</v>
      </c>
      <c r="N17" s="99">
        <v>17.100000000000001</v>
      </c>
      <c r="O17" s="58">
        <v>7000</v>
      </c>
      <c r="P17" s="59">
        <f>Table22457891011234567891011[[#This Row],[PEMBULATAN]]*O17</f>
        <v>119700.00000000001</v>
      </c>
    </row>
    <row r="18" spans="1:16" ht="26.25" customHeight="1" x14ac:dyDescent="0.2">
      <c r="A18" s="101"/>
      <c r="B18" s="101"/>
      <c r="C18" s="1" t="s">
        <v>232</v>
      </c>
      <c r="D18" s="70" t="s">
        <v>59</v>
      </c>
      <c r="E18" s="96">
        <v>44505</v>
      </c>
      <c r="F18" s="1" t="s">
        <v>169</v>
      </c>
      <c r="G18" s="96">
        <v>44507</v>
      </c>
      <c r="H18" s="1" t="s">
        <v>170</v>
      </c>
      <c r="I18" s="1">
        <v>68</v>
      </c>
      <c r="J18" s="1">
        <v>41</v>
      </c>
      <c r="K18" s="1">
        <v>26</v>
      </c>
      <c r="L18" s="1">
        <v>15</v>
      </c>
      <c r="M18" s="74">
        <v>18.122</v>
      </c>
      <c r="N18" s="99">
        <v>18.122</v>
      </c>
      <c r="O18" s="58">
        <v>7000</v>
      </c>
      <c r="P18" s="59">
        <f>Table22457891011234567891011[[#This Row],[PEMBULATAN]]*O18</f>
        <v>126854</v>
      </c>
    </row>
    <row r="19" spans="1:16" ht="26.25" customHeight="1" x14ac:dyDescent="0.2">
      <c r="A19" s="101"/>
      <c r="B19" s="101"/>
      <c r="C19" s="1" t="s">
        <v>233</v>
      </c>
      <c r="D19" s="70" t="s">
        <v>59</v>
      </c>
      <c r="E19" s="96">
        <v>44505</v>
      </c>
      <c r="F19" s="1" t="s">
        <v>169</v>
      </c>
      <c r="G19" s="96">
        <v>44507</v>
      </c>
      <c r="H19" s="1" t="s">
        <v>170</v>
      </c>
      <c r="I19" s="1">
        <v>48</v>
      </c>
      <c r="J19" s="1">
        <v>34</v>
      </c>
      <c r="K19" s="1">
        <v>25</v>
      </c>
      <c r="L19" s="1">
        <v>10</v>
      </c>
      <c r="M19" s="74">
        <v>10.199999999999999</v>
      </c>
      <c r="N19" s="99">
        <v>10.199999999999999</v>
      </c>
      <c r="O19" s="58">
        <v>7000</v>
      </c>
      <c r="P19" s="59">
        <f>Table22457891011234567891011[[#This Row],[PEMBULATAN]]*O19</f>
        <v>71400</v>
      </c>
    </row>
    <row r="20" spans="1:16" ht="26.25" customHeight="1" x14ac:dyDescent="0.2">
      <c r="A20" s="101"/>
      <c r="B20" s="101"/>
      <c r="C20" s="1" t="s">
        <v>234</v>
      </c>
      <c r="D20" s="70" t="s">
        <v>59</v>
      </c>
      <c r="E20" s="96">
        <v>44505</v>
      </c>
      <c r="F20" s="1" t="s">
        <v>169</v>
      </c>
      <c r="G20" s="96">
        <v>44507</v>
      </c>
      <c r="H20" s="1" t="s">
        <v>170</v>
      </c>
      <c r="I20" s="1">
        <v>64</v>
      </c>
      <c r="J20" s="1">
        <v>40</v>
      </c>
      <c r="K20" s="1">
        <v>23</v>
      </c>
      <c r="L20" s="1">
        <v>3</v>
      </c>
      <c r="M20" s="74">
        <v>14.72</v>
      </c>
      <c r="N20" s="99">
        <v>14.72</v>
      </c>
      <c r="O20" s="58">
        <v>7000</v>
      </c>
      <c r="P20" s="59">
        <f>Table22457891011234567891011[[#This Row],[PEMBULATAN]]*O20</f>
        <v>103040</v>
      </c>
    </row>
    <row r="21" spans="1:16" ht="26.25" customHeight="1" x14ac:dyDescent="0.2">
      <c r="A21" s="101"/>
      <c r="B21" s="101"/>
      <c r="C21" s="1" t="s">
        <v>235</v>
      </c>
      <c r="D21" s="70" t="s">
        <v>59</v>
      </c>
      <c r="E21" s="96">
        <v>44505</v>
      </c>
      <c r="F21" s="1" t="s">
        <v>169</v>
      </c>
      <c r="G21" s="96">
        <v>44507</v>
      </c>
      <c r="H21" s="1" t="s">
        <v>170</v>
      </c>
      <c r="I21" s="1">
        <v>77</v>
      </c>
      <c r="J21" s="1">
        <v>60</v>
      </c>
      <c r="K21" s="1">
        <v>31</v>
      </c>
      <c r="L21" s="1">
        <v>5</v>
      </c>
      <c r="M21" s="74">
        <v>35.805</v>
      </c>
      <c r="N21" s="99">
        <v>35.805</v>
      </c>
      <c r="O21" s="58">
        <v>7000</v>
      </c>
      <c r="P21" s="59">
        <f>Table22457891011234567891011[[#This Row],[PEMBULATAN]]*O21</f>
        <v>250635</v>
      </c>
    </row>
    <row r="22" spans="1:16" ht="26.25" customHeight="1" x14ac:dyDescent="0.2">
      <c r="A22" s="101"/>
      <c r="B22" s="101"/>
      <c r="C22" s="1" t="s">
        <v>236</v>
      </c>
      <c r="D22" s="70" t="s">
        <v>59</v>
      </c>
      <c r="E22" s="96">
        <v>44505</v>
      </c>
      <c r="F22" s="1" t="s">
        <v>169</v>
      </c>
      <c r="G22" s="96">
        <v>44507</v>
      </c>
      <c r="H22" s="1" t="s">
        <v>170</v>
      </c>
      <c r="I22" s="1">
        <v>57</v>
      </c>
      <c r="J22" s="1">
        <v>50</v>
      </c>
      <c r="K22" s="1">
        <v>33</v>
      </c>
      <c r="L22" s="1">
        <v>14</v>
      </c>
      <c r="M22" s="74">
        <v>23.512499999999999</v>
      </c>
      <c r="N22" s="99">
        <v>23.512499999999999</v>
      </c>
      <c r="O22" s="58">
        <v>7000</v>
      </c>
      <c r="P22" s="59">
        <f>Table22457891011234567891011[[#This Row],[PEMBULATAN]]*O22</f>
        <v>164587.5</v>
      </c>
    </row>
    <row r="23" spans="1:16" ht="26.25" customHeight="1" x14ac:dyDescent="0.2">
      <c r="A23" s="101"/>
      <c r="B23" s="101"/>
      <c r="C23" s="1" t="s">
        <v>237</v>
      </c>
      <c r="D23" s="70" t="s">
        <v>59</v>
      </c>
      <c r="E23" s="96">
        <v>44505</v>
      </c>
      <c r="F23" s="1" t="s">
        <v>169</v>
      </c>
      <c r="G23" s="96">
        <v>44507</v>
      </c>
      <c r="H23" s="1" t="s">
        <v>170</v>
      </c>
      <c r="I23" s="1">
        <v>65</v>
      </c>
      <c r="J23" s="1">
        <v>40</v>
      </c>
      <c r="K23" s="1">
        <v>29</v>
      </c>
      <c r="L23" s="1">
        <v>14</v>
      </c>
      <c r="M23" s="74">
        <v>18.850000000000001</v>
      </c>
      <c r="N23" s="99">
        <v>18.850000000000001</v>
      </c>
      <c r="O23" s="58">
        <v>7000</v>
      </c>
      <c r="P23" s="59">
        <f>Table22457891011234567891011[[#This Row],[PEMBULATAN]]*O23</f>
        <v>131950</v>
      </c>
    </row>
    <row r="24" spans="1:16" ht="26.25" customHeight="1" x14ac:dyDescent="0.2">
      <c r="A24" s="101"/>
      <c r="B24" s="101"/>
      <c r="C24" s="1" t="s">
        <v>238</v>
      </c>
      <c r="D24" s="70" t="s">
        <v>59</v>
      </c>
      <c r="E24" s="96">
        <v>44505</v>
      </c>
      <c r="F24" s="1" t="s">
        <v>169</v>
      </c>
      <c r="G24" s="96">
        <v>44507</v>
      </c>
      <c r="H24" s="1" t="s">
        <v>170</v>
      </c>
      <c r="I24" s="1">
        <v>65</v>
      </c>
      <c r="J24" s="1">
        <v>20</v>
      </c>
      <c r="K24" s="1">
        <v>20</v>
      </c>
      <c r="L24" s="1">
        <v>9</v>
      </c>
      <c r="M24" s="74">
        <v>6.5</v>
      </c>
      <c r="N24" s="99">
        <v>9</v>
      </c>
      <c r="O24" s="58">
        <v>7000</v>
      </c>
      <c r="P24" s="59">
        <f>Table22457891011234567891011[[#This Row],[PEMBULATAN]]*O24</f>
        <v>63000</v>
      </c>
    </row>
    <row r="25" spans="1:16" ht="26.25" customHeight="1" x14ac:dyDescent="0.2">
      <c r="A25" s="101"/>
      <c r="B25" s="101"/>
      <c r="C25" s="1" t="s">
        <v>239</v>
      </c>
      <c r="D25" s="70" t="s">
        <v>59</v>
      </c>
      <c r="E25" s="96">
        <v>44505</v>
      </c>
      <c r="F25" s="1" t="s">
        <v>169</v>
      </c>
      <c r="G25" s="96">
        <v>44507</v>
      </c>
      <c r="H25" s="1" t="s">
        <v>170</v>
      </c>
      <c r="I25" s="1">
        <v>87</v>
      </c>
      <c r="J25" s="1">
        <v>62</v>
      </c>
      <c r="K25" s="1">
        <v>23</v>
      </c>
      <c r="L25" s="1">
        <v>10</v>
      </c>
      <c r="M25" s="74">
        <v>31.015499999999999</v>
      </c>
      <c r="N25" s="99">
        <v>31.015499999999999</v>
      </c>
      <c r="O25" s="58">
        <v>7000</v>
      </c>
      <c r="P25" s="59">
        <f>Table22457891011234567891011[[#This Row],[PEMBULATAN]]*O25</f>
        <v>217108.5</v>
      </c>
    </row>
    <row r="26" spans="1:16" ht="26.25" customHeight="1" x14ac:dyDescent="0.2">
      <c r="A26" s="101"/>
      <c r="B26" s="101"/>
      <c r="C26" s="1" t="s">
        <v>240</v>
      </c>
      <c r="D26" s="70" t="s">
        <v>59</v>
      </c>
      <c r="E26" s="96">
        <v>44505</v>
      </c>
      <c r="F26" s="1" t="s">
        <v>169</v>
      </c>
      <c r="G26" s="96">
        <v>44507</v>
      </c>
      <c r="H26" s="1" t="s">
        <v>170</v>
      </c>
      <c r="I26" s="1">
        <v>127</v>
      </c>
      <c r="J26" s="1">
        <v>16</v>
      </c>
      <c r="K26" s="1">
        <v>37</v>
      </c>
      <c r="L26" s="1">
        <v>7</v>
      </c>
      <c r="M26" s="74">
        <v>18.795999999999999</v>
      </c>
      <c r="N26" s="99">
        <v>18.795999999999999</v>
      </c>
      <c r="O26" s="58">
        <v>7000</v>
      </c>
      <c r="P26" s="59">
        <f>Table22457891011234567891011[[#This Row],[PEMBULATAN]]*O26</f>
        <v>131572</v>
      </c>
    </row>
    <row r="27" spans="1:16" ht="26.25" customHeight="1" x14ac:dyDescent="0.2">
      <c r="A27" s="101"/>
      <c r="B27" s="101"/>
      <c r="C27" s="1" t="s">
        <v>241</v>
      </c>
      <c r="D27" s="70" t="s">
        <v>59</v>
      </c>
      <c r="E27" s="96">
        <v>44505</v>
      </c>
      <c r="F27" s="1" t="s">
        <v>169</v>
      </c>
      <c r="G27" s="96">
        <v>44507</v>
      </c>
      <c r="H27" s="1" t="s">
        <v>170</v>
      </c>
      <c r="I27" s="1">
        <v>57</v>
      </c>
      <c r="J27" s="1">
        <v>38</v>
      </c>
      <c r="K27" s="1">
        <v>38</v>
      </c>
      <c r="L27" s="1">
        <v>50</v>
      </c>
      <c r="M27" s="74">
        <v>20.577000000000002</v>
      </c>
      <c r="N27" s="99">
        <v>50</v>
      </c>
      <c r="O27" s="58">
        <v>7000</v>
      </c>
      <c r="P27" s="59">
        <f>Table22457891011234567891011[[#This Row],[PEMBULATAN]]*O27</f>
        <v>350000</v>
      </c>
    </row>
    <row r="28" spans="1:16" ht="26.25" customHeight="1" x14ac:dyDescent="0.2">
      <c r="A28" s="101"/>
      <c r="B28" s="101"/>
      <c r="C28" s="98" t="s">
        <v>242</v>
      </c>
      <c r="D28" s="70" t="s">
        <v>59</v>
      </c>
      <c r="E28" s="96">
        <v>44505</v>
      </c>
      <c r="F28" s="1" t="s">
        <v>169</v>
      </c>
      <c r="G28" s="96">
        <v>44507</v>
      </c>
      <c r="H28" s="1" t="s">
        <v>170</v>
      </c>
      <c r="I28" s="1">
        <v>41</v>
      </c>
      <c r="J28" s="1">
        <v>37</v>
      </c>
      <c r="K28" s="1">
        <v>32</v>
      </c>
      <c r="L28" s="1">
        <v>11</v>
      </c>
      <c r="M28" s="74">
        <v>12.135999999999999</v>
      </c>
      <c r="N28" s="99">
        <v>12.135999999999999</v>
      </c>
      <c r="O28" s="58">
        <v>7000</v>
      </c>
      <c r="P28" s="59">
        <f>Table22457891011234567891011[[#This Row],[PEMBULATAN]]*O28</f>
        <v>84952</v>
      </c>
    </row>
    <row r="29" spans="1:16" ht="26.25" customHeight="1" x14ac:dyDescent="0.2">
      <c r="A29" s="101"/>
      <c r="B29" s="101"/>
      <c r="C29" s="1" t="s">
        <v>243</v>
      </c>
      <c r="D29" s="70" t="s">
        <v>59</v>
      </c>
      <c r="E29" s="96">
        <v>44505</v>
      </c>
      <c r="F29" s="1" t="s">
        <v>169</v>
      </c>
      <c r="G29" s="96">
        <v>44507</v>
      </c>
      <c r="H29" s="1" t="s">
        <v>170</v>
      </c>
      <c r="I29" s="1">
        <v>52</v>
      </c>
      <c r="J29" s="1">
        <v>33</v>
      </c>
      <c r="K29" s="1">
        <v>23</v>
      </c>
      <c r="L29" s="1">
        <v>5</v>
      </c>
      <c r="M29" s="74">
        <v>9.8670000000000009</v>
      </c>
      <c r="N29" s="99">
        <v>9.8670000000000009</v>
      </c>
      <c r="O29" s="58">
        <v>7000</v>
      </c>
      <c r="P29" s="59">
        <f>Table22457891011234567891011[[#This Row],[PEMBULATAN]]*O29</f>
        <v>69069</v>
      </c>
    </row>
    <row r="30" spans="1:16" ht="26.25" customHeight="1" x14ac:dyDescent="0.2">
      <c r="A30" s="101"/>
      <c r="B30" s="101"/>
      <c r="C30" s="1" t="s">
        <v>244</v>
      </c>
      <c r="D30" s="70" t="s">
        <v>59</v>
      </c>
      <c r="E30" s="96">
        <v>44505</v>
      </c>
      <c r="F30" s="1" t="s">
        <v>169</v>
      </c>
      <c r="G30" s="96">
        <v>44507</v>
      </c>
      <c r="H30" s="1" t="s">
        <v>170</v>
      </c>
      <c r="I30" s="1">
        <v>40</v>
      </c>
      <c r="J30" s="1">
        <v>40</v>
      </c>
      <c r="K30" s="1">
        <v>57</v>
      </c>
      <c r="L30" s="1">
        <v>9</v>
      </c>
      <c r="M30" s="74">
        <v>22.8</v>
      </c>
      <c r="N30" s="99">
        <v>22.8</v>
      </c>
      <c r="O30" s="58">
        <v>7000</v>
      </c>
      <c r="P30" s="59">
        <f>Table22457891011234567891011[[#This Row],[PEMBULATAN]]*O30</f>
        <v>159600</v>
      </c>
    </row>
    <row r="31" spans="1:16" ht="26.25" customHeight="1" x14ac:dyDescent="0.2">
      <c r="A31" s="101"/>
      <c r="B31" s="101"/>
      <c r="C31" s="1" t="s">
        <v>245</v>
      </c>
      <c r="D31" s="70" t="s">
        <v>59</v>
      </c>
      <c r="E31" s="96">
        <v>44505</v>
      </c>
      <c r="F31" s="1" t="s">
        <v>169</v>
      </c>
      <c r="G31" s="96">
        <v>44507</v>
      </c>
      <c r="H31" s="1" t="s">
        <v>170</v>
      </c>
      <c r="I31" s="1">
        <v>277</v>
      </c>
      <c r="J31" s="1">
        <v>10</v>
      </c>
      <c r="K31" s="1">
        <v>10</v>
      </c>
      <c r="L31" s="1">
        <v>8</v>
      </c>
      <c r="M31" s="74">
        <v>6.9249999999999998</v>
      </c>
      <c r="N31" s="99">
        <v>8</v>
      </c>
      <c r="O31" s="58">
        <v>7000</v>
      </c>
      <c r="P31" s="59">
        <f>Table22457891011234567891011[[#This Row],[PEMBULATAN]]*O31</f>
        <v>56000</v>
      </c>
    </row>
    <row r="32" spans="1:16" ht="26.25" customHeight="1" x14ac:dyDescent="0.2">
      <c r="A32" s="101"/>
      <c r="B32" s="101"/>
      <c r="C32" s="1" t="s">
        <v>246</v>
      </c>
      <c r="D32" s="70" t="s">
        <v>59</v>
      </c>
      <c r="E32" s="96">
        <v>44505</v>
      </c>
      <c r="F32" s="1" t="s">
        <v>169</v>
      </c>
      <c r="G32" s="96">
        <v>44507</v>
      </c>
      <c r="H32" s="1" t="s">
        <v>170</v>
      </c>
      <c r="I32" s="1">
        <v>277</v>
      </c>
      <c r="J32" s="1">
        <v>10</v>
      </c>
      <c r="K32" s="1">
        <v>10</v>
      </c>
      <c r="L32" s="1">
        <v>8</v>
      </c>
      <c r="M32" s="74">
        <v>6.9249999999999998</v>
      </c>
      <c r="N32" s="99">
        <v>8</v>
      </c>
      <c r="O32" s="58">
        <v>7000</v>
      </c>
      <c r="P32" s="59">
        <f>Table22457891011234567891011[[#This Row],[PEMBULATAN]]*O32</f>
        <v>56000</v>
      </c>
    </row>
    <row r="33" spans="1:16" ht="26.25" customHeight="1" x14ac:dyDescent="0.2">
      <c r="A33" s="101"/>
      <c r="B33" s="101"/>
      <c r="C33" s="1" t="s">
        <v>247</v>
      </c>
      <c r="D33" s="70" t="s">
        <v>59</v>
      </c>
      <c r="E33" s="96">
        <v>44505</v>
      </c>
      <c r="F33" s="1" t="s">
        <v>169</v>
      </c>
      <c r="G33" s="96">
        <v>44507</v>
      </c>
      <c r="H33" s="1" t="s">
        <v>170</v>
      </c>
      <c r="I33" s="1">
        <v>71</v>
      </c>
      <c r="J33" s="1">
        <v>55</v>
      </c>
      <c r="K33" s="1">
        <v>27</v>
      </c>
      <c r="L33" s="1">
        <v>18</v>
      </c>
      <c r="M33" s="74">
        <v>26.358750000000001</v>
      </c>
      <c r="N33" s="99">
        <v>27</v>
      </c>
      <c r="O33" s="58">
        <v>7000</v>
      </c>
      <c r="P33" s="59">
        <f>Table22457891011234567891011[[#This Row],[PEMBULATAN]]*O33</f>
        <v>189000</v>
      </c>
    </row>
    <row r="34" spans="1:16" ht="26.25" customHeight="1" x14ac:dyDescent="0.2">
      <c r="A34" s="101"/>
      <c r="B34" s="102"/>
      <c r="C34" s="1" t="s">
        <v>248</v>
      </c>
      <c r="D34" s="70" t="s">
        <v>59</v>
      </c>
      <c r="E34" s="96">
        <v>44505</v>
      </c>
      <c r="F34" s="1" t="s">
        <v>169</v>
      </c>
      <c r="G34" s="96">
        <v>44507</v>
      </c>
      <c r="H34" s="1" t="s">
        <v>170</v>
      </c>
      <c r="I34" s="1">
        <v>72</v>
      </c>
      <c r="J34" s="1">
        <v>46</v>
      </c>
      <c r="K34" s="1">
        <v>30</v>
      </c>
      <c r="L34" s="1">
        <v>50</v>
      </c>
      <c r="M34" s="74">
        <v>24.84</v>
      </c>
      <c r="N34" s="99">
        <v>50</v>
      </c>
      <c r="O34" s="58">
        <v>7000</v>
      </c>
      <c r="P34" s="59">
        <f>Table22457891011234567891011[[#This Row],[PEMBULATAN]]*O34</f>
        <v>350000</v>
      </c>
    </row>
    <row r="35" spans="1:16" ht="26.25" customHeight="1" x14ac:dyDescent="0.2">
      <c r="A35" s="101"/>
      <c r="B35" s="1" t="s">
        <v>249</v>
      </c>
      <c r="C35" s="1" t="s">
        <v>250</v>
      </c>
      <c r="D35" s="70" t="s">
        <v>59</v>
      </c>
      <c r="E35" s="96">
        <v>44505</v>
      </c>
      <c r="F35" s="1" t="s">
        <v>169</v>
      </c>
      <c r="G35" s="96">
        <v>44507</v>
      </c>
      <c r="H35" s="1" t="s">
        <v>170</v>
      </c>
      <c r="I35" s="1">
        <v>30</v>
      </c>
      <c r="J35" s="1">
        <v>37</v>
      </c>
      <c r="K35" s="1">
        <v>13</v>
      </c>
      <c r="L35" s="1">
        <v>1</v>
      </c>
      <c r="M35" s="74">
        <v>3.6074999999999999</v>
      </c>
      <c r="N35" s="99">
        <v>3.6074999999999999</v>
      </c>
      <c r="O35" s="58">
        <v>7000</v>
      </c>
      <c r="P35" s="59">
        <f>Table22457891011234567891011[[#This Row],[PEMBULATAN]]*O35</f>
        <v>25252.5</v>
      </c>
    </row>
    <row r="36" spans="1:16" ht="26.25" customHeight="1" x14ac:dyDescent="0.2">
      <c r="A36" s="101"/>
      <c r="B36" s="101" t="s">
        <v>251</v>
      </c>
      <c r="C36" s="1" t="s">
        <v>252</v>
      </c>
      <c r="D36" s="70" t="s">
        <v>59</v>
      </c>
      <c r="E36" s="96">
        <v>44505</v>
      </c>
      <c r="F36" s="1" t="s">
        <v>169</v>
      </c>
      <c r="G36" s="96">
        <v>44507</v>
      </c>
      <c r="H36" s="1" t="s">
        <v>170</v>
      </c>
      <c r="I36" s="1">
        <v>90</v>
      </c>
      <c r="J36" s="1">
        <v>73</v>
      </c>
      <c r="K36" s="1">
        <v>42</v>
      </c>
      <c r="L36" s="1">
        <v>22</v>
      </c>
      <c r="M36" s="74">
        <v>68.984999999999999</v>
      </c>
      <c r="N36" s="99">
        <v>68.984999999999999</v>
      </c>
      <c r="O36" s="58">
        <v>7000</v>
      </c>
      <c r="P36" s="59">
        <f>Table22457891011234567891011[[#This Row],[PEMBULATAN]]*O36</f>
        <v>482895</v>
      </c>
    </row>
    <row r="37" spans="1:16" ht="26.25" customHeight="1" x14ac:dyDescent="0.2">
      <c r="A37" s="101"/>
      <c r="B37" s="101"/>
      <c r="C37" s="1" t="s">
        <v>253</v>
      </c>
      <c r="D37" s="70" t="s">
        <v>59</v>
      </c>
      <c r="E37" s="96">
        <v>44505</v>
      </c>
      <c r="F37" s="1" t="s">
        <v>169</v>
      </c>
      <c r="G37" s="96">
        <v>44507</v>
      </c>
      <c r="H37" s="1" t="s">
        <v>170</v>
      </c>
      <c r="I37" s="1">
        <v>65</v>
      </c>
      <c r="J37" s="1">
        <v>65</v>
      </c>
      <c r="K37" s="1">
        <v>22</v>
      </c>
      <c r="L37" s="1">
        <v>14</v>
      </c>
      <c r="M37" s="74">
        <v>23.237500000000001</v>
      </c>
      <c r="N37" s="99">
        <v>23.237500000000001</v>
      </c>
      <c r="O37" s="58">
        <v>7000</v>
      </c>
      <c r="P37" s="59">
        <f>Table22457891011234567891011[[#This Row],[PEMBULATAN]]*O37</f>
        <v>162662.5</v>
      </c>
    </row>
    <row r="38" spans="1:16" ht="26.25" customHeight="1" x14ac:dyDescent="0.2">
      <c r="A38" s="101"/>
      <c r="B38" s="101"/>
      <c r="C38" s="1" t="s">
        <v>254</v>
      </c>
      <c r="D38" s="70" t="s">
        <v>59</v>
      </c>
      <c r="E38" s="96">
        <v>44505</v>
      </c>
      <c r="F38" s="1" t="s">
        <v>169</v>
      </c>
      <c r="G38" s="96">
        <v>44507</v>
      </c>
      <c r="H38" s="1" t="s">
        <v>170</v>
      </c>
      <c r="I38" s="1">
        <v>56</v>
      </c>
      <c r="J38" s="1">
        <v>44</v>
      </c>
      <c r="K38" s="1">
        <v>25</v>
      </c>
      <c r="L38" s="1">
        <v>3</v>
      </c>
      <c r="M38" s="74">
        <v>15.4</v>
      </c>
      <c r="N38" s="99">
        <v>15.4</v>
      </c>
      <c r="O38" s="58">
        <v>7000</v>
      </c>
      <c r="P38" s="59">
        <f>Table22457891011234567891011[[#This Row],[PEMBULATAN]]*O38</f>
        <v>107800</v>
      </c>
    </row>
    <row r="39" spans="1:16" ht="26.25" customHeight="1" x14ac:dyDescent="0.2">
      <c r="A39" s="101"/>
      <c r="B39" s="101"/>
      <c r="C39" s="1" t="s">
        <v>255</v>
      </c>
      <c r="D39" s="70" t="s">
        <v>59</v>
      </c>
      <c r="E39" s="96">
        <v>44505</v>
      </c>
      <c r="F39" s="1" t="s">
        <v>169</v>
      </c>
      <c r="G39" s="96">
        <v>44507</v>
      </c>
      <c r="H39" s="1" t="s">
        <v>170</v>
      </c>
      <c r="I39" s="1">
        <v>60</v>
      </c>
      <c r="J39" s="1">
        <v>42</v>
      </c>
      <c r="K39" s="1">
        <v>45</v>
      </c>
      <c r="L39" s="1">
        <v>14</v>
      </c>
      <c r="M39" s="74">
        <v>28.35</v>
      </c>
      <c r="N39" s="99">
        <v>29</v>
      </c>
      <c r="O39" s="58">
        <v>7000</v>
      </c>
      <c r="P39" s="59">
        <f>Table22457891011234567891011[[#This Row],[PEMBULATAN]]*O39</f>
        <v>203000</v>
      </c>
    </row>
    <row r="40" spans="1:16" ht="26.25" customHeight="1" x14ac:dyDescent="0.2">
      <c r="A40" s="101"/>
      <c r="B40" s="101"/>
      <c r="C40" s="1" t="s">
        <v>256</v>
      </c>
      <c r="D40" s="70" t="s">
        <v>59</v>
      </c>
      <c r="E40" s="96">
        <v>44505</v>
      </c>
      <c r="F40" s="1" t="s">
        <v>169</v>
      </c>
      <c r="G40" s="96">
        <v>44507</v>
      </c>
      <c r="H40" s="1" t="s">
        <v>170</v>
      </c>
      <c r="I40" s="1">
        <v>58</v>
      </c>
      <c r="J40" s="1">
        <v>47</v>
      </c>
      <c r="K40" s="1">
        <v>38</v>
      </c>
      <c r="L40" s="1">
        <v>3</v>
      </c>
      <c r="M40" s="74">
        <v>25.896999999999998</v>
      </c>
      <c r="N40" s="99">
        <v>25.896999999999998</v>
      </c>
      <c r="O40" s="58">
        <v>7000</v>
      </c>
      <c r="P40" s="59">
        <f>Table22457891011234567891011[[#This Row],[PEMBULATAN]]*O40</f>
        <v>181279</v>
      </c>
    </row>
    <row r="41" spans="1:16" ht="26.25" customHeight="1" x14ac:dyDescent="0.2">
      <c r="A41" s="101"/>
      <c r="B41" s="101"/>
      <c r="C41" s="1" t="s">
        <v>257</v>
      </c>
      <c r="D41" s="70" t="s">
        <v>59</v>
      </c>
      <c r="E41" s="96">
        <v>44505</v>
      </c>
      <c r="F41" s="1" t="s">
        <v>169</v>
      </c>
      <c r="G41" s="96">
        <v>44507</v>
      </c>
      <c r="H41" s="1" t="s">
        <v>170</v>
      </c>
      <c r="I41" s="1">
        <v>76</v>
      </c>
      <c r="J41" s="1">
        <v>47</v>
      </c>
      <c r="K41" s="1">
        <v>43</v>
      </c>
      <c r="L41" s="1">
        <v>22</v>
      </c>
      <c r="M41" s="74">
        <v>38.399000000000001</v>
      </c>
      <c r="N41" s="99">
        <v>39</v>
      </c>
      <c r="O41" s="58">
        <v>7000</v>
      </c>
      <c r="P41" s="59">
        <f>Table22457891011234567891011[[#This Row],[PEMBULATAN]]*O41</f>
        <v>273000</v>
      </c>
    </row>
    <row r="42" spans="1:16" ht="26.25" customHeight="1" x14ac:dyDescent="0.2">
      <c r="A42" s="101"/>
      <c r="B42" s="101"/>
      <c r="C42" s="1" t="s">
        <v>258</v>
      </c>
      <c r="D42" s="70" t="s">
        <v>59</v>
      </c>
      <c r="E42" s="96">
        <v>44505</v>
      </c>
      <c r="F42" s="1" t="s">
        <v>169</v>
      </c>
      <c r="G42" s="96">
        <v>44507</v>
      </c>
      <c r="H42" s="1" t="s">
        <v>170</v>
      </c>
      <c r="I42" s="1">
        <v>77</v>
      </c>
      <c r="J42" s="1">
        <v>76</v>
      </c>
      <c r="K42" s="1">
        <v>34</v>
      </c>
      <c r="L42" s="1">
        <v>3</v>
      </c>
      <c r="M42" s="74">
        <v>49.741999999999997</v>
      </c>
      <c r="N42" s="99">
        <v>49.741999999999997</v>
      </c>
      <c r="O42" s="58">
        <v>7000</v>
      </c>
      <c r="P42" s="59">
        <f>Table22457891011234567891011[[#This Row],[PEMBULATAN]]*O42</f>
        <v>348194</v>
      </c>
    </row>
    <row r="43" spans="1:16" ht="26.25" customHeight="1" x14ac:dyDescent="0.2">
      <c r="A43" s="101"/>
      <c r="B43" s="101"/>
      <c r="C43" s="1" t="s">
        <v>259</v>
      </c>
      <c r="D43" s="70" t="s">
        <v>59</v>
      </c>
      <c r="E43" s="96">
        <v>44505</v>
      </c>
      <c r="F43" s="1" t="s">
        <v>169</v>
      </c>
      <c r="G43" s="96">
        <v>44507</v>
      </c>
      <c r="H43" s="1" t="s">
        <v>170</v>
      </c>
      <c r="I43" s="1">
        <v>150</v>
      </c>
      <c r="J43" s="1">
        <v>64</v>
      </c>
      <c r="K43" s="1">
        <v>10</v>
      </c>
      <c r="L43" s="1">
        <v>14</v>
      </c>
      <c r="M43" s="74">
        <v>24</v>
      </c>
      <c r="N43" s="99">
        <v>24</v>
      </c>
      <c r="O43" s="58">
        <v>7000</v>
      </c>
      <c r="P43" s="59">
        <f>Table22457891011234567891011[[#This Row],[PEMBULATAN]]*O43</f>
        <v>168000</v>
      </c>
    </row>
    <row r="44" spans="1:16" ht="26.25" customHeight="1" x14ac:dyDescent="0.2">
      <c r="A44" s="101"/>
      <c r="B44" s="101"/>
      <c r="C44" s="1" t="s">
        <v>260</v>
      </c>
      <c r="D44" s="70" t="s">
        <v>59</v>
      </c>
      <c r="E44" s="96">
        <v>44505</v>
      </c>
      <c r="F44" s="1" t="s">
        <v>169</v>
      </c>
      <c r="G44" s="96">
        <v>44507</v>
      </c>
      <c r="H44" s="1" t="s">
        <v>170</v>
      </c>
      <c r="I44" s="1">
        <v>150</v>
      </c>
      <c r="J44" s="1">
        <v>64</v>
      </c>
      <c r="K44" s="1">
        <v>10</v>
      </c>
      <c r="L44" s="1">
        <v>14</v>
      </c>
      <c r="M44" s="74">
        <v>24</v>
      </c>
      <c r="N44" s="99">
        <v>24</v>
      </c>
      <c r="O44" s="58">
        <v>7000</v>
      </c>
      <c r="P44" s="59">
        <f>Table22457891011234567891011[[#This Row],[PEMBULATAN]]*O44</f>
        <v>168000</v>
      </c>
    </row>
    <row r="45" spans="1:16" ht="26.25" customHeight="1" x14ac:dyDescent="0.2">
      <c r="A45" s="101"/>
      <c r="B45" s="101"/>
      <c r="C45" s="1" t="s">
        <v>261</v>
      </c>
      <c r="D45" s="70" t="s">
        <v>59</v>
      </c>
      <c r="E45" s="96">
        <v>44505</v>
      </c>
      <c r="F45" s="1" t="s">
        <v>169</v>
      </c>
      <c r="G45" s="96">
        <v>44507</v>
      </c>
      <c r="H45" s="1" t="s">
        <v>170</v>
      </c>
      <c r="I45" s="1">
        <v>150</v>
      </c>
      <c r="J45" s="1">
        <v>64</v>
      </c>
      <c r="K45" s="1">
        <v>10</v>
      </c>
      <c r="L45" s="1">
        <v>14</v>
      </c>
      <c r="M45" s="74">
        <v>24</v>
      </c>
      <c r="N45" s="99">
        <v>24</v>
      </c>
      <c r="O45" s="58">
        <v>7000</v>
      </c>
      <c r="P45" s="59">
        <f>Table22457891011234567891011[[#This Row],[PEMBULATAN]]*O45</f>
        <v>168000</v>
      </c>
    </row>
    <row r="46" spans="1:16" ht="26.25" customHeight="1" x14ac:dyDescent="0.2">
      <c r="A46" s="101"/>
      <c r="B46" s="101"/>
      <c r="C46" s="1" t="s">
        <v>262</v>
      </c>
      <c r="D46" s="70" t="s">
        <v>59</v>
      </c>
      <c r="E46" s="96">
        <v>44505</v>
      </c>
      <c r="F46" s="1" t="s">
        <v>169</v>
      </c>
      <c r="G46" s="96">
        <v>44507</v>
      </c>
      <c r="H46" s="1" t="s">
        <v>170</v>
      </c>
      <c r="I46" s="1">
        <v>150</v>
      </c>
      <c r="J46" s="1">
        <v>64</v>
      </c>
      <c r="K46" s="1">
        <v>10</v>
      </c>
      <c r="L46" s="1">
        <v>14</v>
      </c>
      <c r="M46" s="74">
        <v>24</v>
      </c>
      <c r="N46" s="99">
        <v>24</v>
      </c>
      <c r="O46" s="58">
        <v>7000</v>
      </c>
      <c r="P46" s="59">
        <f>Table22457891011234567891011[[#This Row],[PEMBULATAN]]*O46</f>
        <v>168000</v>
      </c>
    </row>
    <row r="47" spans="1:16" ht="26.25" customHeight="1" x14ac:dyDescent="0.2">
      <c r="A47" s="102"/>
      <c r="B47" s="102"/>
      <c r="C47" s="1" t="s">
        <v>263</v>
      </c>
      <c r="D47" s="70" t="s">
        <v>59</v>
      </c>
      <c r="E47" s="96">
        <v>44505</v>
      </c>
      <c r="F47" s="1" t="s">
        <v>169</v>
      </c>
      <c r="G47" s="96">
        <v>44507</v>
      </c>
      <c r="H47" s="1" t="s">
        <v>170</v>
      </c>
      <c r="I47" s="1">
        <v>150</v>
      </c>
      <c r="J47" s="1">
        <v>64</v>
      </c>
      <c r="K47" s="1">
        <v>10</v>
      </c>
      <c r="L47" s="1">
        <v>14</v>
      </c>
      <c r="M47" s="74">
        <v>24</v>
      </c>
      <c r="N47" s="99">
        <v>24</v>
      </c>
      <c r="O47" s="58">
        <v>7000</v>
      </c>
      <c r="P47" s="59">
        <f>Table22457891011234567891011[[#This Row],[PEMBULATAN]]*O47</f>
        <v>168000</v>
      </c>
    </row>
    <row r="48" spans="1:16" ht="22.5" customHeight="1" x14ac:dyDescent="0.2">
      <c r="A48" s="145" t="s">
        <v>30</v>
      </c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7"/>
      <c r="M48" s="73">
        <f>SUBTOTAL(109,Table22457891011234567891011[KG VOLUME])</f>
        <v>881.38599999999997</v>
      </c>
      <c r="N48" s="62">
        <f>SUM(N3:N47)</f>
        <v>1003.1329999999999</v>
      </c>
      <c r="O48" s="148">
        <f>SUM(P3:P47)</f>
        <v>7021931</v>
      </c>
      <c r="P48" s="149"/>
    </row>
    <row r="49" spans="1:16" ht="18" customHeight="1" x14ac:dyDescent="0.2">
      <c r="A49" s="80"/>
      <c r="B49" s="50" t="s">
        <v>42</v>
      </c>
      <c r="C49" s="49"/>
      <c r="D49" s="51" t="s">
        <v>43</v>
      </c>
      <c r="E49" s="80"/>
      <c r="F49" s="80"/>
      <c r="G49" s="80"/>
      <c r="H49" s="80"/>
      <c r="I49" s="80"/>
      <c r="J49" s="80"/>
      <c r="K49" s="80"/>
      <c r="L49" s="80"/>
      <c r="M49" s="81"/>
      <c r="N49" s="82" t="s">
        <v>52</v>
      </c>
      <c r="O49" s="83"/>
      <c r="P49" s="83">
        <v>0</v>
      </c>
    </row>
    <row r="50" spans="1:16" ht="18" customHeight="1" thickBot="1" x14ac:dyDescent="0.25">
      <c r="A50" s="80"/>
      <c r="B50" s="50"/>
      <c r="C50" s="49"/>
      <c r="D50" s="51"/>
      <c r="E50" s="80"/>
      <c r="F50" s="80"/>
      <c r="G50" s="80"/>
      <c r="H50" s="80"/>
      <c r="I50" s="80"/>
      <c r="J50" s="80"/>
      <c r="K50" s="80"/>
      <c r="L50" s="80"/>
      <c r="M50" s="81"/>
      <c r="N50" s="84" t="s">
        <v>53</v>
      </c>
      <c r="O50" s="85"/>
      <c r="P50" s="85">
        <f>O48-P49</f>
        <v>7021931</v>
      </c>
    </row>
    <row r="51" spans="1:16" ht="18" customHeight="1" x14ac:dyDescent="0.2">
      <c r="A51" s="11"/>
      <c r="H51" s="57"/>
      <c r="N51" s="56" t="s">
        <v>31</v>
      </c>
      <c r="P51" s="63">
        <f>P50*1%</f>
        <v>70219.31</v>
      </c>
    </row>
    <row r="52" spans="1:16" ht="18" customHeight="1" thickBot="1" x14ac:dyDescent="0.25">
      <c r="A52" s="11"/>
      <c r="H52" s="57"/>
      <c r="N52" s="56" t="s">
        <v>54</v>
      </c>
      <c r="P52" s="65">
        <f>P50*2%</f>
        <v>140438.62</v>
      </c>
    </row>
    <row r="53" spans="1:16" ht="18" customHeight="1" x14ac:dyDescent="0.2">
      <c r="A53" s="11"/>
      <c r="H53" s="57"/>
      <c r="N53" s="60" t="s">
        <v>32</v>
      </c>
      <c r="O53" s="61"/>
      <c r="P53" s="64">
        <f>P50+P51-P52</f>
        <v>6951711.6899999995</v>
      </c>
    </row>
    <row r="55" spans="1:16" x14ac:dyDescent="0.2">
      <c r="A55" s="11"/>
      <c r="H55" s="57"/>
      <c r="P55" s="65"/>
    </row>
    <row r="56" spans="1:16" x14ac:dyDescent="0.2">
      <c r="A56" s="11"/>
      <c r="H56" s="57"/>
      <c r="O56" s="52"/>
      <c r="P56" s="65"/>
    </row>
    <row r="57" spans="1:16" s="3" customFormat="1" x14ac:dyDescent="0.25">
      <c r="A57" s="11"/>
      <c r="B57" s="2"/>
      <c r="C57" s="2"/>
      <c r="E57" s="12"/>
      <c r="H57" s="57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57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57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57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57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57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57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57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57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57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57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57"/>
      <c r="N68" s="15"/>
      <c r="O68" s="15"/>
      <c r="P68" s="15"/>
    </row>
  </sheetData>
  <mergeCells count="2">
    <mergeCell ref="A48:L48"/>
    <mergeCell ref="O48:P48"/>
  </mergeCells>
  <conditionalFormatting sqref="C3:C34">
    <cfRule type="duplicateValues" dxfId="542" priority="3"/>
  </conditionalFormatting>
  <conditionalFormatting sqref="C35">
    <cfRule type="duplicateValues" dxfId="541" priority="2"/>
  </conditionalFormatting>
  <conditionalFormatting sqref="C36:C47">
    <cfRule type="duplicateValues" dxfId="540" priority="1"/>
  </conditionalFormatting>
  <hyperlinks>
    <hyperlink ref="C10" r:id="rId1" display="https://www.sicepat.com/"/>
  </hyperlinks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10" sqref="O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116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3">
        <v>404010</v>
      </c>
      <c r="B3" s="103" t="s">
        <v>264</v>
      </c>
      <c r="C3" s="92" t="s">
        <v>265</v>
      </c>
      <c r="D3" s="106" t="s">
        <v>59</v>
      </c>
      <c r="E3" s="93">
        <v>44506</v>
      </c>
      <c r="F3" s="92" t="s">
        <v>169</v>
      </c>
      <c r="G3" s="93">
        <v>44507</v>
      </c>
      <c r="H3" s="1" t="s">
        <v>170</v>
      </c>
      <c r="I3" s="92">
        <v>37</v>
      </c>
      <c r="J3" s="92">
        <v>23</v>
      </c>
      <c r="K3" s="92">
        <v>23</v>
      </c>
      <c r="L3" s="92">
        <v>7</v>
      </c>
      <c r="M3" s="94">
        <v>4.8932500000000001</v>
      </c>
      <c r="N3" s="109">
        <v>7</v>
      </c>
      <c r="O3" s="58">
        <v>7000</v>
      </c>
      <c r="P3" s="59">
        <f>Table2245789101123456789101112[[#This Row],[PEMBULATAN]]*O3</f>
        <v>49000</v>
      </c>
    </row>
    <row r="4" spans="1:16" ht="26.25" customHeight="1" x14ac:dyDescent="0.2">
      <c r="A4" s="104"/>
      <c r="B4" s="104"/>
      <c r="C4" s="92" t="s">
        <v>266</v>
      </c>
      <c r="D4" s="106" t="s">
        <v>59</v>
      </c>
      <c r="E4" s="93">
        <v>44506</v>
      </c>
      <c r="F4" s="92" t="s">
        <v>169</v>
      </c>
      <c r="G4" s="93">
        <v>44507</v>
      </c>
      <c r="H4" s="1" t="s">
        <v>170</v>
      </c>
      <c r="I4" s="92">
        <v>48</v>
      </c>
      <c r="J4" s="92">
        <v>45</v>
      </c>
      <c r="K4" s="92">
        <v>34</v>
      </c>
      <c r="L4" s="92">
        <v>8</v>
      </c>
      <c r="M4" s="94">
        <v>18.36</v>
      </c>
      <c r="N4" s="109">
        <v>19</v>
      </c>
      <c r="O4" s="58">
        <v>7000</v>
      </c>
      <c r="P4" s="59">
        <f>Table2245789101123456789101112[[#This Row],[PEMBULATAN]]*O4</f>
        <v>133000</v>
      </c>
    </row>
    <row r="5" spans="1:16" ht="26.25" customHeight="1" x14ac:dyDescent="0.2">
      <c r="A5" s="104"/>
      <c r="B5" s="104"/>
      <c r="C5" s="92" t="s">
        <v>267</v>
      </c>
      <c r="D5" s="106" t="s">
        <v>59</v>
      </c>
      <c r="E5" s="93">
        <v>44506</v>
      </c>
      <c r="F5" s="92" t="s">
        <v>169</v>
      </c>
      <c r="G5" s="93">
        <v>44507</v>
      </c>
      <c r="H5" s="1" t="s">
        <v>170</v>
      </c>
      <c r="I5" s="92">
        <v>65</v>
      </c>
      <c r="J5" s="92">
        <v>49</v>
      </c>
      <c r="K5" s="92">
        <v>32</v>
      </c>
      <c r="L5" s="92">
        <v>15</v>
      </c>
      <c r="M5" s="94">
        <v>25.48</v>
      </c>
      <c r="N5" s="109">
        <v>26</v>
      </c>
      <c r="O5" s="58">
        <v>7000</v>
      </c>
      <c r="P5" s="59">
        <f>Table2245789101123456789101112[[#This Row],[PEMBULATAN]]*O5</f>
        <v>182000</v>
      </c>
    </row>
    <row r="6" spans="1:16" ht="26.25" customHeight="1" x14ac:dyDescent="0.2">
      <c r="A6" s="104"/>
      <c r="B6" s="104"/>
      <c r="C6" s="92" t="s">
        <v>268</v>
      </c>
      <c r="D6" s="106" t="s">
        <v>59</v>
      </c>
      <c r="E6" s="93">
        <v>44506</v>
      </c>
      <c r="F6" s="92" t="s">
        <v>169</v>
      </c>
      <c r="G6" s="93">
        <v>44507</v>
      </c>
      <c r="H6" s="1" t="s">
        <v>170</v>
      </c>
      <c r="I6" s="92">
        <v>42</v>
      </c>
      <c r="J6" s="92">
        <v>36</v>
      </c>
      <c r="K6" s="92">
        <v>24</v>
      </c>
      <c r="L6" s="92">
        <v>12</v>
      </c>
      <c r="M6" s="94">
        <v>9.0719999999999992</v>
      </c>
      <c r="N6" s="109">
        <v>12</v>
      </c>
      <c r="O6" s="58">
        <v>7000</v>
      </c>
      <c r="P6" s="59">
        <f>Table2245789101123456789101112[[#This Row],[PEMBULATAN]]*O6</f>
        <v>84000</v>
      </c>
    </row>
    <row r="7" spans="1:16" ht="26.25" customHeight="1" x14ac:dyDescent="0.2">
      <c r="A7" s="104"/>
      <c r="B7" s="105"/>
      <c r="C7" s="92" t="s">
        <v>269</v>
      </c>
      <c r="D7" s="106" t="s">
        <v>59</v>
      </c>
      <c r="E7" s="93">
        <v>44506</v>
      </c>
      <c r="F7" s="92" t="s">
        <v>169</v>
      </c>
      <c r="G7" s="93">
        <v>44507</v>
      </c>
      <c r="H7" s="1" t="s">
        <v>170</v>
      </c>
      <c r="I7" s="92">
        <v>46</v>
      </c>
      <c r="J7" s="92">
        <v>36</v>
      </c>
      <c r="K7" s="92">
        <v>38</v>
      </c>
      <c r="L7" s="92">
        <v>12</v>
      </c>
      <c r="M7" s="94">
        <v>15.731999999999999</v>
      </c>
      <c r="N7" s="109">
        <v>15.731999999999999</v>
      </c>
      <c r="O7" s="58">
        <v>7000</v>
      </c>
      <c r="P7" s="59">
        <f>Table2245789101123456789101112[[#This Row],[PEMBULATAN]]*O7</f>
        <v>110124</v>
      </c>
    </row>
    <row r="8" spans="1:16" ht="26.25" customHeight="1" x14ac:dyDescent="0.2">
      <c r="A8" s="105"/>
      <c r="B8" s="105" t="s">
        <v>270</v>
      </c>
      <c r="C8" s="92" t="s">
        <v>271</v>
      </c>
      <c r="D8" s="106" t="s">
        <v>59</v>
      </c>
      <c r="E8" s="93">
        <v>44506</v>
      </c>
      <c r="F8" s="92" t="s">
        <v>169</v>
      </c>
      <c r="G8" s="93">
        <v>44507</v>
      </c>
      <c r="H8" s="1" t="s">
        <v>170</v>
      </c>
      <c r="I8" s="92">
        <v>27</v>
      </c>
      <c r="J8" s="92">
        <v>22</v>
      </c>
      <c r="K8" s="92">
        <v>22</v>
      </c>
      <c r="L8" s="92">
        <v>5</v>
      </c>
      <c r="M8" s="94">
        <v>3.2669999999999999</v>
      </c>
      <c r="N8" s="109">
        <v>5</v>
      </c>
      <c r="O8" s="58">
        <v>7000</v>
      </c>
      <c r="P8" s="59">
        <f>Table2245789101123456789101112[[#This Row],[PEMBULATAN]]*O8</f>
        <v>35000</v>
      </c>
    </row>
    <row r="9" spans="1:16" ht="22.5" customHeight="1" x14ac:dyDescent="0.2">
      <c r="A9" s="145" t="s">
        <v>30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7"/>
      <c r="M9" s="73">
        <f>SUBTOTAL(109,Table2245789101123456789101112[KG VOLUME])</f>
        <v>76.804249999999996</v>
      </c>
      <c r="N9" s="62">
        <f>SUM(N3:N8)</f>
        <v>84.731999999999999</v>
      </c>
      <c r="O9" s="148">
        <f>SUM(P3:P8)</f>
        <v>593124</v>
      </c>
      <c r="P9" s="149"/>
    </row>
    <row r="10" spans="1:16" ht="18" customHeight="1" x14ac:dyDescent="0.2">
      <c r="A10" s="80"/>
      <c r="B10" s="50" t="s">
        <v>42</v>
      </c>
      <c r="C10" s="49"/>
      <c r="D10" s="51" t="s">
        <v>43</v>
      </c>
      <c r="E10" s="80"/>
      <c r="F10" s="80"/>
      <c r="G10" s="80"/>
      <c r="H10" s="80"/>
      <c r="I10" s="80"/>
      <c r="J10" s="80"/>
      <c r="K10" s="80"/>
      <c r="L10" s="80"/>
      <c r="M10" s="81"/>
      <c r="N10" s="82" t="s">
        <v>52</v>
      </c>
      <c r="O10" s="83"/>
      <c r="P10" s="83">
        <v>0</v>
      </c>
    </row>
    <row r="11" spans="1:16" ht="18" customHeight="1" thickBot="1" x14ac:dyDescent="0.25">
      <c r="A11" s="80"/>
      <c r="B11" s="50"/>
      <c r="C11" s="49"/>
      <c r="D11" s="51"/>
      <c r="E11" s="80"/>
      <c r="F11" s="80"/>
      <c r="G11" s="80"/>
      <c r="H11" s="80"/>
      <c r="I11" s="80"/>
      <c r="J11" s="80"/>
      <c r="K11" s="80"/>
      <c r="L11" s="80"/>
      <c r="M11" s="81"/>
      <c r="N11" s="84" t="s">
        <v>53</v>
      </c>
      <c r="O11" s="85"/>
      <c r="P11" s="85">
        <f>O9-P10</f>
        <v>593124</v>
      </c>
    </row>
    <row r="12" spans="1:16" ht="18" customHeight="1" x14ac:dyDescent="0.2">
      <c r="A12" s="11"/>
      <c r="H12" s="57"/>
      <c r="N12" s="56" t="s">
        <v>31</v>
      </c>
      <c r="P12" s="63">
        <f>P11*1%</f>
        <v>5931.24</v>
      </c>
    </row>
    <row r="13" spans="1:16" ht="18" customHeight="1" thickBot="1" x14ac:dyDescent="0.25">
      <c r="A13" s="11"/>
      <c r="H13" s="57"/>
      <c r="N13" s="56" t="s">
        <v>54</v>
      </c>
      <c r="P13" s="65">
        <f>P11*2%</f>
        <v>11862.48</v>
      </c>
    </row>
    <row r="14" spans="1:16" ht="18" customHeight="1" x14ac:dyDescent="0.2">
      <c r="A14" s="11"/>
      <c r="H14" s="57"/>
      <c r="N14" s="60" t="s">
        <v>32</v>
      </c>
      <c r="O14" s="61"/>
      <c r="P14" s="64">
        <f>P11+P12-P13</f>
        <v>587192.76</v>
      </c>
    </row>
    <row r="16" spans="1:16" x14ac:dyDescent="0.2">
      <c r="A16" s="11"/>
      <c r="H16" s="57"/>
      <c r="P16" s="65"/>
    </row>
    <row r="17" spans="1:16" x14ac:dyDescent="0.2">
      <c r="A17" s="11"/>
      <c r="H17" s="57"/>
      <c r="O17" s="52"/>
      <c r="P17" s="65"/>
    </row>
    <row r="18" spans="1:16" s="3" customFormat="1" x14ac:dyDescent="0.25">
      <c r="A18" s="11"/>
      <c r="B18" s="2"/>
      <c r="C18" s="2"/>
      <c r="E18" s="12"/>
      <c r="H18" s="57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57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7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7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7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7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7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7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57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57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57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57"/>
      <c r="N29" s="15"/>
      <c r="O29" s="15"/>
      <c r="P29" s="15"/>
    </row>
  </sheetData>
  <mergeCells count="2">
    <mergeCell ref="A9:L9"/>
    <mergeCell ref="O9:P9"/>
  </mergeCells>
  <conditionalFormatting sqref="C3:C7">
    <cfRule type="duplicateValues" dxfId="524" priority="2"/>
  </conditionalFormatting>
  <conditionalFormatting sqref="C8">
    <cfRule type="duplicateValues" dxfId="523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1"/>
  <sheetViews>
    <sheetView zoomScale="110" zoomScaleNormal="110" workbookViewId="0">
      <pane xSplit="3" ySplit="2" topLeftCell="D36" activePane="bottomRight" state="frozen"/>
      <selection pane="topRight" activeCell="B1" sqref="B1"/>
      <selection pane="bottomLeft" activeCell="A3" sqref="A3"/>
      <selection pane="bottomRight" activeCell="O42" sqref="O4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3">
        <v>402334</v>
      </c>
      <c r="B3" s="103" t="s">
        <v>272</v>
      </c>
      <c r="C3" s="92" t="s">
        <v>273</v>
      </c>
      <c r="D3" s="106" t="s">
        <v>59</v>
      </c>
      <c r="E3" s="93">
        <v>44506</v>
      </c>
      <c r="F3" s="92" t="s">
        <v>169</v>
      </c>
      <c r="G3" s="93">
        <v>44507</v>
      </c>
      <c r="H3" s="1" t="s">
        <v>170</v>
      </c>
      <c r="I3" s="92">
        <v>44</v>
      </c>
      <c r="J3" s="92">
        <v>30</v>
      </c>
      <c r="K3" s="92">
        <v>17</v>
      </c>
      <c r="L3" s="92">
        <v>8</v>
      </c>
      <c r="M3" s="94">
        <v>5.61</v>
      </c>
      <c r="N3" s="109">
        <v>8</v>
      </c>
      <c r="O3" s="58">
        <v>7000</v>
      </c>
      <c r="P3" s="59">
        <f>Table224578910112345678910111213[[#This Row],[PEMBULATAN]]*O3</f>
        <v>56000</v>
      </c>
    </row>
    <row r="4" spans="1:16" ht="26.25" customHeight="1" x14ac:dyDescent="0.2">
      <c r="A4" s="104"/>
      <c r="B4" s="104"/>
      <c r="C4" s="92" t="s">
        <v>274</v>
      </c>
      <c r="D4" s="106" t="s">
        <v>59</v>
      </c>
      <c r="E4" s="93">
        <v>44506</v>
      </c>
      <c r="F4" s="92" t="s">
        <v>169</v>
      </c>
      <c r="G4" s="93">
        <v>44507</v>
      </c>
      <c r="H4" s="1" t="s">
        <v>170</v>
      </c>
      <c r="I4" s="92">
        <v>40</v>
      </c>
      <c r="J4" s="92">
        <v>26</v>
      </c>
      <c r="K4" s="92">
        <v>18</v>
      </c>
      <c r="L4" s="92">
        <v>6</v>
      </c>
      <c r="M4" s="94">
        <v>4.68</v>
      </c>
      <c r="N4" s="109">
        <v>6</v>
      </c>
      <c r="O4" s="58">
        <v>7000</v>
      </c>
      <c r="P4" s="59">
        <f>Table224578910112345678910111213[[#This Row],[PEMBULATAN]]*O4</f>
        <v>42000</v>
      </c>
    </row>
    <row r="5" spans="1:16" ht="26.25" customHeight="1" x14ac:dyDescent="0.2">
      <c r="A5" s="104"/>
      <c r="B5" s="104"/>
      <c r="C5" s="92" t="s">
        <v>275</v>
      </c>
      <c r="D5" s="106" t="s">
        <v>59</v>
      </c>
      <c r="E5" s="93">
        <v>44506</v>
      </c>
      <c r="F5" s="92" t="s">
        <v>169</v>
      </c>
      <c r="G5" s="93">
        <v>44507</v>
      </c>
      <c r="H5" s="1" t="s">
        <v>170</v>
      </c>
      <c r="I5" s="92">
        <v>54</v>
      </c>
      <c r="J5" s="92">
        <v>42</v>
      </c>
      <c r="K5" s="92">
        <v>32</v>
      </c>
      <c r="L5" s="92">
        <v>30</v>
      </c>
      <c r="M5" s="94">
        <v>18.143999999999998</v>
      </c>
      <c r="N5" s="109">
        <v>30</v>
      </c>
      <c r="O5" s="58">
        <v>7000</v>
      </c>
      <c r="P5" s="59">
        <f>Table224578910112345678910111213[[#This Row],[PEMBULATAN]]*O5</f>
        <v>210000</v>
      </c>
    </row>
    <row r="6" spans="1:16" ht="26.25" customHeight="1" x14ac:dyDescent="0.2">
      <c r="A6" s="104"/>
      <c r="B6" s="104"/>
      <c r="C6" s="92" t="s">
        <v>276</v>
      </c>
      <c r="D6" s="106" t="s">
        <v>59</v>
      </c>
      <c r="E6" s="93">
        <v>44506</v>
      </c>
      <c r="F6" s="92" t="s">
        <v>169</v>
      </c>
      <c r="G6" s="93">
        <v>44507</v>
      </c>
      <c r="H6" s="1" t="s">
        <v>170</v>
      </c>
      <c r="I6" s="92">
        <v>112</v>
      </c>
      <c r="J6" s="92">
        <v>40</v>
      </c>
      <c r="K6" s="92">
        <v>38</v>
      </c>
      <c r="L6" s="92">
        <v>17</v>
      </c>
      <c r="M6" s="94">
        <v>42.56</v>
      </c>
      <c r="N6" s="109">
        <v>42.56</v>
      </c>
      <c r="O6" s="58">
        <v>7000</v>
      </c>
      <c r="P6" s="59">
        <f>Table224578910112345678910111213[[#This Row],[PEMBULATAN]]*O6</f>
        <v>297920</v>
      </c>
    </row>
    <row r="7" spans="1:16" ht="26.25" customHeight="1" x14ac:dyDescent="0.2">
      <c r="A7" s="104"/>
      <c r="B7" s="104"/>
      <c r="C7" s="92" t="s">
        <v>277</v>
      </c>
      <c r="D7" s="106" t="s">
        <v>59</v>
      </c>
      <c r="E7" s="93">
        <v>44506</v>
      </c>
      <c r="F7" s="92" t="s">
        <v>169</v>
      </c>
      <c r="G7" s="93">
        <v>44507</v>
      </c>
      <c r="H7" s="1" t="s">
        <v>170</v>
      </c>
      <c r="I7" s="92">
        <v>64</v>
      </c>
      <c r="J7" s="92">
        <v>54</v>
      </c>
      <c r="K7" s="92">
        <v>21</v>
      </c>
      <c r="L7" s="92">
        <v>28</v>
      </c>
      <c r="M7" s="94">
        <v>18.143999999999998</v>
      </c>
      <c r="N7" s="109">
        <v>28</v>
      </c>
      <c r="O7" s="58">
        <v>7000</v>
      </c>
      <c r="P7" s="59">
        <f>Table224578910112345678910111213[[#This Row],[PEMBULATAN]]*O7</f>
        <v>196000</v>
      </c>
    </row>
    <row r="8" spans="1:16" ht="26.25" customHeight="1" x14ac:dyDescent="0.2">
      <c r="A8" s="104"/>
      <c r="B8" s="104"/>
      <c r="C8" s="92" t="s">
        <v>278</v>
      </c>
      <c r="D8" s="106" t="s">
        <v>59</v>
      </c>
      <c r="E8" s="93">
        <v>44506</v>
      </c>
      <c r="F8" s="92" t="s">
        <v>169</v>
      </c>
      <c r="G8" s="93">
        <v>44507</v>
      </c>
      <c r="H8" s="1" t="s">
        <v>170</v>
      </c>
      <c r="I8" s="92">
        <v>70</v>
      </c>
      <c r="J8" s="92">
        <v>37</v>
      </c>
      <c r="K8" s="92">
        <v>12</v>
      </c>
      <c r="L8" s="92">
        <v>25</v>
      </c>
      <c r="M8" s="94">
        <v>7.77</v>
      </c>
      <c r="N8" s="109">
        <v>25</v>
      </c>
      <c r="O8" s="58">
        <v>7000</v>
      </c>
      <c r="P8" s="59">
        <f>Table224578910112345678910111213[[#This Row],[PEMBULATAN]]*O8</f>
        <v>175000</v>
      </c>
    </row>
    <row r="9" spans="1:16" ht="26.25" customHeight="1" x14ac:dyDescent="0.2">
      <c r="A9" s="104"/>
      <c r="B9" s="104"/>
      <c r="C9" s="92" t="s">
        <v>279</v>
      </c>
      <c r="D9" s="106" t="s">
        <v>59</v>
      </c>
      <c r="E9" s="93">
        <v>44506</v>
      </c>
      <c r="F9" s="92" t="s">
        <v>169</v>
      </c>
      <c r="G9" s="93">
        <v>44507</v>
      </c>
      <c r="H9" s="1" t="s">
        <v>170</v>
      </c>
      <c r="I9" s="92">
        <v>67</v>
      </c>
      <c r="J9" s="92">
        <v>45</v>
      </c>
      <c r="K9" s="92">
        <v>23</v>
      </c>
      <c r="L9" s="92">
        <v>29</v>
      </c>
      <c r="M9" s="94">
        <v>17.33625</v>
      </c>
      <c r="N9" s="109">
        <v>29</v>
      </c>
      <c r="O9" s="58">
        <v>7000</v>
      </c>
      <c r="P9" s="59">
        <f>Table224578910112345678910111213[[#This Row],[PEMBULATAN]]*O9</f>
        <v>203000</v>
      </c>
    </row>
    <row r="10" spans="1:16" ht="26.25" customHeight="1" x14ac:dyDescent="0.2">
      <c r="A10" s="104"/>
      <c r="B10" s="104"/>
      <c r="C10" s="92" t="s">
        <v>280</v>
      </c>
      <c r="D10" s="106" t="s">
        <v>59</v>
      </c>
      <c r="E10" s="93">
        <v>44506</v>
      </c>
      <c r="F10" s="92" t="s">
        <v>169</v>
      </c>
      <c r="G10" s="93">
        <v>44507</v>
      </c>
      <c r="H10" s="1" t="s">
        <v>170</v>
      </c>
      <c r="I10" s="92">
        <v>43</v>
      </c>
      <c r="J10" s="92">
        <v>42</v>
      </c>
      <c r="K10" s="92">
        <v>32</v>
      </c>
      <c r="L10" s="92">
        <v>13</v>
      </c>
      <c r="M10" s="94">
        <v>14.448</v>
      </c>
      <c r="N10" s="109">
        <v>15</v>
      </c>
      <c r="O10" s="58">
        <v>7000</v>
      </c>
      <c r="P10" s="59">
        <f>Table224578910112345678910111213[[#This Row],[PEMBULATAN]]*O10</f>
        <v>105000</v>
      </c>
    </row>
    <row r="11" spans="1:16" ht="26.25" customHeight="1" x14ac:dyDescent="0.2">
      <c r="A11" s="104"/>
      <c r="B11" s="104"/>
      <c r="C11" s="92" t="s">
        <v>281</v>
      </c>
      <c r="D11" s="106" t="s">
        <v>59</v>
      </c>
      <c r="E11" s="93">
        <v>44506</v>
      </c>
      <c r="F11" s="92" t="s">
        <v>169</v>
      </c>
      <c r="G11" s="93">
        <v>44507</v>
      </c>
      <c r="H11" s="1" t="s">
        <v>170</v>
      </c>
      <c r="I11" s="92">
        <v>40</v>
      </c>
      <c r="J11" s="92">
        <v>40</v>
      </c>
      <c r="K11" s="92">
        <v>28</v>
      </c>
      <c r="L11" s="92">
        <v>11</v>
      </c>
      <c r="M11" s="94">
        <v>11.2</v>
      </c>
      <c r="N11" s="109">
        <v>11.2</v>
      </c>
      <c r="O11" s="58">
        <v>7000</v>
      </c>
      <c r="P11" s="59">
        <f>Table224578910112345678910111213[[#This Row],[PEMBULATAN]]*O11</f>
        <v>78400</v>
      </c>
    </row>
    <row r="12" spans="1:16" ht="26.25" customHeight="1" x14ac:dyDescent="0.2">
      <c r="A12" s="104"/>
      <c r="B12" s="104"/>
      <c r="C12" s="92" t="s">
        <v>282</v>
      </c>
      <c r="D12" s="106" t="s">
        <v>59</v>
      </c>
      <c r="E12" s="93">
        <v>44506</v>
      </c>
      <c r="F12" s="92" t="s">
        <v>169</v>
      </c>
      <c r="G12" s="93">
        <v>44507</v>
      </c>
      <c r="H12" s="1" t="s">
        <v>170</v>
      </c>
      <c r="I12" s="92">
        <v>77</v>
      </c>
      <c r="J12" s="92">
        <v>45</v>
      </c>
      <c r="K12" s="92">
        <v>23</v>
      </c>
      <c r="L12" s="92">
        <v>15</v>
      </c>
      <c r="M12" s="94">
        <v>19.923749999999998</v>
      </c>
      <c r="N12" s="109">
        <v>19.923749999999998</v>
      </c>
      <c r="O12" s="58">
        <v>7000</v>
      </c>
      <c r="P12" s="59">
        <f>Table224578910112345678910111213[[#This Row],[PEMBULATAN]]*O12</f>
        <v>139466.25</v>
      </c>
    </row>
    <row r="13" spans="1:16" ht="26.25" customHeight="1" x14ac:dyDescent="0.2">
      <c r="A13" s="104"/>
      <c r="B13" s="104"/>
      <c r="C13" s="92" t="s">
        <v>283</v>
      </c>
      <c r="D13" s="106" t="s">
        <v>59</v>
      </c>
      <c r="E13" s="93">
        <v>44506</v>
      </c>
      <c r="F13" s="92" t="s">
        <v>169</v>
      </c>
      <c r="G13" s="93">
        <v>44507</v>
      </c>
      <c r="H13" s="1" t="s">
        <v>170</v>
      </c>
      <c r="I13" s="92">
        <v>42</v>
      </c>
      <c r="J13" s="92">
        <v>33</v>
      </c>
      <c r="K13" s="92">
        <v>47</v>
      </c>
      <c r="L13" s="92">
        <v>18</v>
      </c>
      <c r="M13" s="94">
        <v>16.285499999999999</v>
      </c>
      <c r="N13" s="109">
        <v>18</v>
      </c>
      <c r="O13" s="58">
        <v>7000</v>
      </c>
      <c r="P13" s="59">
        <f>Table224578910112345678910111213[[#This Row],[PEMBULATAN]]*O13</f>
        <v>126000</v>
      </c>
    </row>
    <row r="14" spans="1:16" ht="26.25" customHeight="1" x14ac:dyDescent="0.2">
      <c r="A14" s="104"/>
      <c r="B14" s="104"/>
      <c r="C14" s="92" t="s">
        <v>284</v>
      </c>
      <c r="D14" s="106" t="s">
        <v>59</v>
      </c>
      <c r="E14" s="93">
        <v>44506</v>
      </c>
      <c r="F14" s="92" t="s">
        <v>169</v>
      </c>
      <c r="G14" s="93">
        <v>44507</v>
      </c>
      <c r="H14" s="1" t="s">
        <v>170</v>
      </c>
      <c r="I14" s="92">
        <v>92</v>
      </c>
      <c r="J14" s="92">
        <v>37</v>
      </c>
      <c r="K14" s="92">
        <v>28</v>
      </c>
      <c r="L14" s="92">
        <v>7</v>
      </c>
      <c r="M14" s="94">
        <v>23.827999999999999</v>
      </c>
      <c r="N14" s="109">
        <v>23.827999999999999</v>
      </c>
      <c r="O14" s="58">
        <v>7000</v>
      </c>
      <c r="P14" s="59">
        <f>Table224578910112345678910111213[[#This Row],[PEMBULATAN]]*O14</f>
        <v>166796</v>
      </c>
    </row>
    <row r="15" spans="1:16" ht="26.25" customHeight="1" x14ac:dyDescent="0.2">
      <c r="A15" s="104"/>
      <c r="B15" s="104"/>
      <c r="C15" s="92" t="s">
        <v>285</v>
      </c>
      <c r="D15" s="106" t="s">
        <v>59</v>
      </c>
      <c r="E15" s="93">
        <v>44506</v>
      </c>
      <c r="F15" s="92" t="s">
        <v>169</v>
      </c>
      <c r="G15" s="93">
        <v>44507</v>
      </c>
      <c r="H15" s="1" t="s">
        <v>170</v>
      </c>
      <c r="I15" s="92">
        <v>54</v>
      </c>
      <c r="J15" s="92">
        <v>30</v>
      </c>
      <c r="K15" s="92">
        <v>45</v>
      </c>
      <c r="L15" s="92">
        <v>10</v>
      </c>
      <c r="M15" s="94">
        <v>18.225000000000001</v>
      </c>
      <c r="N15" s="109">
        <v>18.225000000000001</v>
      </c>
      <c r="O15" s="58">
        <v>7000</v>
      </c>
      <c r="P15" s="59">
        <f>Table224578910112345678910111213[[#This Row],[PEMBULATAN]]*O15</f>
        <v>127575.00000000001</v>
      </c>
    </row>
    <row r="16" spans="1:16" ht="26.25" customHeight="1" x14ac:dyDescent="0.2">
      <c r="A16" s="104"/>
      <c r="B16" s="104"/>
      <c r="C16" s="92" t="s">
        <v>286</v>
      </c>
      <c r="D16" s="106" t="s">
        <v>59</v>
      </c>
      <c r="E16" s="93">
        <v>44506</v>
      </c>
      <c r="F16" s="92" t="s">
        <v>169</v>
      </c>
      <c r="G16" s="93">
        <v>44507</v>
      </c>
      <c r="H16" s="1" t="s">
        <v>170</v>
      </c>
      <c r="I16" s="92">
        <v>45</v>
      </c>
      <c r="J16" s="92">
        <v>36</v>
      </c>
      <c r="K16" s="92">
        <v>22</v>
      </c>
      <c r="L16" s="92">
        <v>7</v>
      </c>
      <c r="M16" s="94">
        <v>8.91</v>
      </c>
      <c r="N16" s="109">
        <v>8.91</v>
      </c>
      <c r="O16" s="58">
        <v>7000</v>
      </c>
      <c r="P16" s="59">
        <f>Table224578910112345678910111213[[#This Row],[PEMBULATAN]]*O16</f>
        <v>62370</v>
      </c>
    </row>
    <row r="17" spans="1:16" ht="26.25" customHeight="1" x14ac:dyDescent="0.2">
      <c r="A17" s="104"/>
      <c r="B17" s="104"/>
      <c r="C17" s="92" t="s">
        <v>287</v>
      </c>
      <c r="D17" s="106" t="s">
        <v>59</v>
      </c>
      <c r="E17" s="93">
        <v>44506</v>
      </c>
      <c r="F17" s="92" t="s">
        <v>169</v>
      </c>
      <c r="G17" s="93">
        <v>44507</v>
      </c>
      <c r="H17" s="1" t="s">
        <v>170</v>
      </c>
      <c r="I17" s="92">
        <v>30</v>
      </c>
      <c r="J17" s="92">
        <v>27</v>
      </c>
      <c r="K17" s="92">
        <v>16</v>
      </c>
      <c r="L17" s="92">
        <v>7</v>
      </c>
      <c r="M17" s="94">
        <v>3.24</v>
      </c>
      <c r="N17" s="109">
        <v>7</v>
      </c>
      <c r="O17" s="58">
        <v>7000</v>
      </c>
      <c r="P17" s="59">
        <f>Table224578910112345678910111213[[#This Row],[PEMBULATAN]]*O17</f>
        <v>49000</v>
      </c>
    </row>
    <row r="18" spans="1:16" ht="26.25" customHeight="1" x14ac:dyDescent="0.2">
      <c r="A18" s="104"/>
      <c r="B18" s="104"/>
      <c r="C18" s="92" t="s">
        <v>288</v>
      </c>
      <c r="D18" s="106" t="s">
        <v>59</v>
      </c>
      <c r="E18" s="93">
        <v>44506</v>
      </c>
      <c r="F18" s="92" t="s">
        <v>169</v>
      </c>
      <c r="G18" s="93">
        <v>44507</v>
      </c>
      <c r="H18" s="1" t="s">
        <v>170</v>
      </c>
      <c r="I18" s="92">
        <v>48</v>
      </c>
      <c r="J18" s="92">
        <v>48</v>
      </c>
      <c r="K18" s="92">
        <v>32</v>
      </c>
      <c r="L18" s="92">
        <v>35</v>
      </c>
      <c r="M18" s="94">
        <v>18.431999999999999</v>
      </c>
      <c r="N18" s="109">
        <v>35</v>
      </c>
      <c r="O18" s="58">
        <v>7000</v>
      </c>
      <c r="P18" s="59">
        <f>Table224578910112345678910111213[[#This Row],[PEMBULATAN]]*O18</f>
        <v>245000</v>
      </c>
    </row>
    <row r="19" spans="1:16" ht="26.25" customHeight="1" x14ac:dyDescent="0.2">
      <c r="A19" s="104"/>
      <c r="B19" s="104"/>
      <c r="C19" s="92" t="s">
        <v>289</v>
      </c>
      <c r="D19" s="106" t="s">
        <v>59</v>
      </c>
      <c r="E19" s="93">
        <v>44506</v>
      </c>
      <c r="F19" s="92" t="s">
        <v>169</v>
      </c>
      <c r="G19" s="93">
        <v>44507</v>
      </c>
      <c r="H19" s="1" t="s">
        <v>170</v>
      </c>
      <c r="I19" s="92">
        <v>25</v>
      </c>
      <c r="J19" s="92">
        <v>25</v>
      </c>
      <c r="K19" s="92">
        <v>17</v>
      </c>
      <c r="L19" s="92">
        <v>11</v>
      </c>
      <c r="M19" s="94">
        <v>2.65625</v>
      </c>
      <c r="N19" s="109">
        <v>11</v>
      </c>
      <c r="O19" s="58">
        <v>7000</v>
      </c>
      <c r="P19" s="59">
        <f>Table224578910112345678910111213[[#This Row],[PEMBULATAN]]*O19</f>
        <v>77000</v>
      </c>
    </row>
    <row r="20" spans="1:16" ht="26.25" customHeight="1" x14ac:dyDescent="0.2">
      <c r="A20" s="104"/>
      <c r="B20" s="104"/>
      <c r="C20" s="1" t="s">
        <v>290</v>
      </c>
      <c r="D20" s="70" t="s">
        <v>59</v>
      </c>
      <c r="E20" s="93">
        <v>44506</v>
      </c>
      <c r="F20" s="92" t="s">
        <v>169</v>
      </c>
      <c r="G20" s="93">
        <v>44507</v>
      </c>
      <c r="H20" s="1" t="s">
        <v>170</v>
      </c>
      <c r="I20" s="92">
        <v>80</v>
      </c>
      <c r="J20" s="92">
        <v>35</v>
      </c>
      <c r="K20" s="92">
        <v>15</v>
      </c>
      <c r="L20" s="92">
        <v>6</v>
      </c>
      <c r="M20" s="94">
        <v>10.5</v>
      </c>
      <c r="N20" s="109">
        <v>10.5</v>
      </c>
      <c r="O20" s="58">
        <v>7000</v>
      </c>
      <c r="P20" s="59">
        <f>Table224578910112345678910111213[[#This Row],[PEMBULATAN]]*O20</f>
        <v>73500</v>
      </c>
    </row>
    <row r="21" spans="1:16" ht="26.25" customHeight="1" x14ac:dyDescent="0.2">
      <c r="A21" s="104"/>
      <c r="B21" s="104"/>
      <c r="C21" s="1" t="s">
        <v>291</v>
      </c>
      <c r="D21" s="70" t="s">
        <v>59</v>
      </c>
      <c r="E21" s="93">
        <v>44506</v>
      </c>
      <c r="F21" s="92" t="s">
        <v>169</v>
      </c>
      <c r="G21" s="93">
        <v>44507</v>
      </c>
      <c r="H21" s="1" t="s">
        <v>170</v>
      </c>
      <c r="I21" s="92">
        <v>70</v>
      </c>
      <c r="J21" s="92">
        <v>45</v>
      </c>
      <c r="K21" s="92">
        <v>18</v>
      </c>
      <c r="L21" s="92">
        <v>9</v>
      </c>
      <c r="M21" s="94">
        <v>14.175000000000001</v>
      </c>
      <c r="N21" s="109">
        <v>14.175000000000001</v>
      </c>
      <c r="O21" s="58">
        <v>7000</v>
      </c>
      <c r="P21" s="59">
        <f>Table224578910112345678910111213[[#This Row],[PEMBULATAN]]*O21</f>
        <v>99225</v>
      </c>
    </row>
    <row r="22" spans="1:16" ht="26.25" customHeight="1" x14ac:dyDescent="0.2">
      <c r="A22" s="104"/>
      <c r="B22" s="104"/>
      <c r="C22" s="97" t="s">
        <v>292</v>
      </c>
      <c r="D22" s="70" t="s">
        <v>59</v>
      </c>
      <c r="E22" s="93">
        <v>44506</v>
      </c>
      <c r="F22" s="92" t="s">
        <v>169</v>
      </c>
      <c r="G22" s="93">
        <v>44507</v>
      </c>
      <c r="H22" s="1" t="s">
        <v>170</v>
      </c>
      <c r="I22" s="92">
        <v>54</v>
      </c>
      <c r="J22" s="92">
        <v>40</v>
      </c>
      <c r="K22" s="92">
        <v>38</v>
      </c>
      <c r="L22" s="92">
        <v>19</v>
      </c>
      <c r="M22" s="94">
        <v>20.52</v>
      </c>
      <c r="N22" s="109">
        <v>20.52</v>
      </c>
      <c r="O22" s="58">
        <v>7000</v>
      </c>
      <c r="P22" s="59">
        <f>Table224578910112345678910111213[[#This Row],[PEMBULATAN]]*O22</f>
        <v>143640</v>
      </c>
    </row>
    <row r="23" spans="1:16" ht="26.25" customHeight="1" x14ac:dyDescent="0.2">
      <c r="A23" s="104"/>
      <c r="B23" s="104"/>
      <c r="C23" s="1" t="s">
        <v>293</v>
      </c>
      <c r="D23" s="70" t="s">
        <v>59</v>
      </c>
      <c r="E23" s="93">
        <v>44506</v>
      </c>
      <c r="F23" s="92" t="s">
        <v>169</v>
      </c>
      <c r="G23" s="93">
        <v>44507</v>
      </c>
      <c r="H23" s="1" t="s">
        <v>170</v>
      </c>
      <c r="I23" s="92">
        <v>43</v>
      </c>
      <c r="J23" s="92">
        <v>42</v>
      </c>
      <c r="K23" s="92">
        <v>23</v>
      </c>
      <c r="L23" s="92">
        <v>12</v>
      </c>
      <c r="M23" s="94">
        <v>10.384499999999999</v>
      </c>
      <c r="N23" s="109">
        <v>12</v>
      </c>
      <c r="O23" s="58">
        <v>7000</v>
      </c>
      <c r="P23" s="59">
        <f>Table224578910112345678910111213[[#This Row],[PEMBULATAN]]*O23</f>
        <v>84000</v>
      </c>
    </row>
    <row r="24" spans="1:16" ht="26.25" customHeight="1" x14ac:dyDescent="0.2">
      <c r="A24" s="104"/>
      <c r="B24" s="104"/>
      <c r="C24" s="1" t="s">
        <v>294</v>
      </c>
      <c r="D24" s="70" t="s">
        <v>59</v>
      </c>
      <c r="E24" s="93">
        <v>44506</v>
      </c>
      <c r="F24" s="92" t="s">
        <v>169</v>
      </c>
      <c r="G24" s="93">
        <v>44507</v>
      </c>
      <c r="H24" s="1" t="s">
        <v>170</v>
      </c>
      <c r="I24" s="92">
        <v>73</v>
      </c>
      <c r="J24" s="92">
        <v>44</v>
      </c>
      <c r="K24" s="92">
        <v>52</v>
      </c>
      <c r="L24" s="92">
        <v>40</v>
      </c>
      <c r="M24" s="94">
        <v>41.756</v>
      </c>
      <c r="N24" s="109">
        <v>41.756</v>
      </c>
      <c r="O24" s="58">
        <v>7000</v>
      </c>
      <c r="P24" s="59">
        <f>Table224578910112345678910111213[[#This Row],[PEMBULATAN]]*O24</f>
        <v>292292</v>
      </c>
    </row>
    <row r="25" spans="1:16" ht="26.25" customHeight="1" x14ac:dyDescent="0.2">
      <c r="A25" s="104"/>
      <c r="B25" s="104"/>
      <c r="C25" s="97" t="s">
        <v>295</v>
      </c>
      <c r="D25" s="70" t="s">
        <v>59</v>
      </c>
      <c r="E25" s="93">
        <v>44506</v>
      </c>
      <c r="F25" s="92" t="s">
        <v>169</v>
      </c>
      <c r="G25" s="93">
        <v>44507</v>
      </c>
      <c r="H25" s="1" t="s">
        <v>170</v>
      </c>
      <c r="I25" s="92">
        <v>88</v>
      </c>
      <c r="J25" s="92">
        <v>44</v>
      </c>
      <c r="K25" s="92">
        <v>52</v>
      </c>
      <c r="L25" s="92">
        <v>30</v>
      </c>
      <c r="M25" s="94">
        <v>50.335999999999999</v>
      </c>
      <c r="N25" s="109">
        <v>51</v>
      </c>
      <c r="O25" s="58">
        <v>7000</v>
      </c>
      <c r="P25" s="59">
        <f>Table224578910112345678910111213[[#This Row],[PEMBULATAN]]*O25</f>
        <v>357000</v>
      </c>
    </row>
    <row r="26" spans="1:16" ht="26.25" customHeight="1" x14ac:dyDescent="0.2">
      <c r="A26" s="104"/>
      <c r="B26" s="104"/>
      <c r="C26" s="1" t="s">
        <v>296</v>
      </c>
      <c r="D26" s="70" t="s">
        <v>59</v>
      </c>
      <c r="E26" s="93">
        <v>44506</v>
      </c>
      <c r="F26" s="92" t="s">
        <v>169</v>
      </c>
      <c r="G26" s="93">
        <v>44507</v>
      </c>
      <c r="H26" s="1" t="s">
        <v>170</v>
      </c>
      <c r="I26" s="92">
        <v>56</v>
      </c>
      <c r="J26" s="92">
        <v>47</v>
      </c>
      <c r="K26" s="92">
        <v>15</v>
      </c>
      <c r="L26" s="92">
        <v>8</v>
      </c>
      <c r="M26" s="94">
        <v>9.8699999999999992</v>
      </c>
      <c r="N26" s="109">
        <v>9.8699999999999992</v>
      </c>
      <c r="O26" s="58">
        <v>7000</v>
      </c>
      <c r="P26" s="59">
        <f>Table224578910112345678910111213[[#This Row],[PEMBULATAN]]*O26</f>
        <v>69090</v>
      </c>
    </row>
    <row r="27" spans="1:16" ht="26.25" customHeight="1" x14ac:dyDescent="0.2">
      <c r="A27" s="104"/>
      <c r="B27" s="104"/>
      <c r="C27" s="1" t="s">
        <v>297</v>
      </c>
      <c r="D27" s="70" t="s">
        <v>59</v>
      </c>
      <c r="E27" s="93">
        <v>44506</v>
      </c>
      <c r="F27" s="92" t="s">
        <v>169</v>
      </c>
      <c r="G27" s="93">
        <v>44507</v>
      </c>
      <c r="H27" s="1" t="s">
        <v>170</v>
      </c>
      <c r="I27" s="92">
        <v>72</v>
      </c>
      <c r="J27" s="92">
        <v>45</v>
      </c>
      <c r="K27" s="92">
        <v>18</v>
      </c>
      <c r="L27" s="92">
        <v>10</v>
      </c>
      <c r="M27" s="94">
        <v>14.58</v>
      </c>
      <c r="N27" s="109">
        <v>14.58</v>
      </c>
      <c r="O27" s="58">
        <v>7000</v>
      </c>
      <c r="P27" s="59">
        <f>Table224578910112345678910111213[[#This Row],[PEMBULATAN]]*O27</f>
        <v>102060</v>
      </c>
    </row>
    <row r="28" spans="1:16" ht="26.25" customHeight="1" x14ac:dyDescent="0.2">
      <c r="A28" s="104"/>
      <c r="B28" s="104"/>
      <c r="C28" s="92" t="s">
        <v>298</v>
      </c>
      <c r="D28" s="106" t="s">
        <v>59</v>
      </c>
      <c r="E28" s="93">
        <v>44506</v>
      </c>
      <c r="F28" s="92" t="s">
        <v>169</v>
      </c>
      <c r="G28" s="93">
        <v>44507</v>
      </c>
      <c r="H28" s="1" t="s">
        <v>170</v>
      </c>
      <c r="I28" s="92">
        <v>112</v>
      </c>
      <c r="J28" s="92">
        <v>47</v>
      </c>
      <c r="K28" s="92">
        <v>18</v>
      </c>
      <c r="L28" s="92">
        <v>7</v>
      </c>
      <c r="M28" s="94">
        <v>23.687999999999999</v>
      </c>
      <c r="N28" s="109">
        <v>23.687999999999999</v>
      </c>
      <c r="O28" s="58">
        <v>7000</v>
      </c>
      <c r="P28" s="59">
        <f>Table224578910112345678910111213[[#This Row],[PEMBULATAN]]*O28</f>
        <v>165816</v>
      </c>
    </row>
    <row r="29" spans="1:16" ht="26.25" customHeight="1" x14ac:dyDescent="0.2">
      <c r="A29" s="104"/>
      <c r="B29" s="104"/>
      <c r="C29" s="92" t="s">
        <v>299</v>
      </c>
      <c r="D29" s="106" t="s">
        <v>59</v>
      </c>
      <c r="E29" s="93">
        <v>44506</v>
      </c>
      <c r="F29" s="92" t="s">
        <v>169</v>
      </c>
      <c r="G29" s="93">
        <v>44507</v>
      </c>
      <c r="H29" s="1" t="s">
        <v>170</v>
      </c>
      <c r="I29" s="92">
        <v>945</v>
      </c>
      <c r="J29" s="92">
        <v>50</v>
      </c>
      <c r="K29" s="92">
        <v>28</v>
      </c>
      <c r="L29" s="92">
        <v>30</v>
      </c>
      <c r="M29" s="94">
        <v>330.75</v>
      </c>
      <c r="N29" s="109">
        <v>330.75</v>
      </c>
      <c r="O29" s="58">
        <v>7000</v>
      </c>
      <c r="P29" s="59">
        <f>Table224578910112345678910111213[[#This Row],[PEMBULATAN]]*O29</f>
        <v>2315250</v>
      </c>
    </row>
    <row r="30" spans="1:16" ht="26.25" customHeight="1" x14ac:dyDescent="0.2">
      <c r="A30" s="104"/>
      <c r="B30" s="104"/>
      <c r="C30" s="92" t="s">
        <v>300</v>
      </c>
      <c r="D30" s="106" t="s">
        <v>59</v>
      </c>
      <c r="E30" s="93">
        <v>44506</v>
      </c>
      <c r="F30" s="92" t="s">
        <v>169</v>
      </c>
      <c r="G30" s="93">
        <v>44507</v>
      </c>
      <c r="H30" s="1" t="s">
        <v>170</v>
      </c>
      <c r="I30" s="92">
        <v>65</v>
      </c>
      <c r="J30" s="92">
        <v>51</v>
      </c>
      <c r="K30" s="92">
        <v>6</v>
      </c>
      <c r="L30" s="92">
        <v>12</v>
      </c>
      <c r="M30" s="94">
        <v>4.9725000000000001</v>
      </c>
      <c r="N30" s="109">
        <v>12</v>
      </c>
      <c r="O30" s="58">
        <v>7000</v>
      </c>
      <c r="P30" s="59">
        <f>Table224578910112345678910111213[[#This Row],[PEMBULATAN]]*O30</f>
        <v>84000</v>
      </c>
    </row>
    <row r="31" spans="1:16" ht="26.25" customHeight="1" x14ac:dyDescent="0.2">
      <c r="A31" s="104"/>
      <c r="B31" s="105"/>
      <c r="C31" s="92" t="s">
        <v>301</v>
      </c>
      <c r="D31" s="106" t="s">
        <v>59</v>
      </c>
      <c r="E31" s="93">
        <v>44506</v>
      </c>
      <c r="F31" s="92" t="s">
        <v>169</v>
      </c>
      <c r="G31" s="93">
        <v>44507</v>
      </c>
      <c r="H31" s="1" t="s">
        <v>170</v>
      </c>
      <c r="I31" s="92">
        <v>44</v>
      </c>
      <c r="J31" s="92">
        <v>30</v>
      </c>
      <c r="K31" s="92">
        <v>22</v>
      </c>
      <c r="L31" s="92">
        <v>11</v>
      </c>
      <c r="M31" s="94">
        <v>7.26</v>
      </c>
      <c r="N31" s="109">
        <v>11</v>
      </c>
      <c r="O31" s="58">
        <v>7000</v>
      </c>
      <c r="P31" s="59">
        <f>Table224578910112345678910111213[[#This Row],[PEMBULATAN]]*O31</f>
        <v>77000</v>
      </c>
    </row>
    <row r="32" spans="1:16" ht="26.25" customHeight="1" x14ac:dyDescent="0.2">
      <c r="A32" s="104"/>
      <c r="B32" s="104" t="s">
        <v>302</v>
      </c>
      <c r="C32" s="92" t="s">
        <v>303</v>
      </c>
      <c r="D32" s="106" t="s">
        <v>59</v>
      </c>
      <c r="E32" s="93">
        <v>44506</v>
      </c>
      <c r="F32" s="92" t="s">
        <v>169</v>
      </c>
      <c r="G32" s="93">
        <v>44507</v>
      </c>
      <c r="H32" s="1" t="s">
        <v>170</v>
      </c>
      <c r="I32" s="92">
        <v>30</v>
      </c>
      <c r="J32" s="92">
        <v>20</v>
      </c>
      <c r="K32" s="92">
        <v>23</v>
      </c>
      <c r="L32" s="92">
        <v>20</v>
      </c>
      <c r="M32" s="94">
        <v>3.45</v>
      </c>
      <c r="N32" s="109">
        <v>20</v>
      </c>
      <c r="O32" s="58">
        <v>7000</v>
      </c>
      <c r="P32" s="59">
        <f>Table224578910112345678910111213[[#This Row],[PEMBULATAN]]*O32</f>
        <v>140000</v>
      </c>
    </row>
    <row r="33" spans="1:16" ht="26.25" customHeight="1" x14ac:dyDescent="0.2">
      <c r="A33" s="104"/>
      <c r="B33" s="105"/>
      <c r="C33" s="92" t="s">
        <v>304</v>
      </c>
      <c r="D33" s="106" t="s">
        <v>59</v>
      </c>
      <c r="E33" s="93">
        <v>44506</v>
      </c>
      <c r="F33" s="92" t="s">
        <v>169</v>
      </c>
      <c r="G33" s="93">
        <v>44507</v>
      </c>
      <c r="H33" s="1" t="s">
        <v>170</v>
      </c>
      <c r="I33" s="92">
        <v>50</v>
      </c>
      <c r="J33" s="92">
        <v>40</v>
      </c>
      <c r="K33" s="92">
        <v>10</v>
      </c>
      <c r="L33" s="92">
        <v>2</v>
      </c>
      <c r="M33" s="94">
        <v>5</v>
      </c>
      <c r="N33" s="109">
        <v>5</v>
      </c>
      <c r="O33" s="58">
        <v>7000</v>
      </c>
      <c r="P33" s="59">
        <f>Table224578910112345678910111213[[#This Row],[PEMBULATAN]]*O33</f>
        <v>35000</v>
      </c>
    </row>
    <row r="34" spans="1:16" ht="26.25" customHeight="1" x14ac:dyDescent="0.2">
      <c r="A34" s="104"/>
      <c r="B34" s="104" t="s">
        <v>305</v>
      </c>
      <c r="C34" s="92" t="s">
        <v>306</v>
      </c>
      <c r="D34" s="106" t="s">
        <v>59</v>
      </c>
      <c r="E34" s="93">
        <v>44506</v>
      </c>
      <c r="F34" s="92" t="s">
        <v>169</v>
      </c>
      <c r="G34" s="93">
        <v>44507</v>
      </c>
      <c r="H34" s="1" t="s">
        <v>170</v>
      </c>
      <c r="I34" s="92">
        <v>68</v>
      </c>
      <c r="J34" s="92">
        <v>45</v>
      </c>
      <c r="K34" s="92">
        <v>22</v>
      </c>
      <c r="L34" s="92">
        <v>15</v>
      </c>
      <c r="M34" s="94">
        <v>16.829999999999998</v>
      </c>
      <c r="N34" s="109">
        <v>16.829999999999998</v>
      </c>
      <c r="O34" s="58">
        <v>7000</v>
      </c>
      <c r="P34" s="59">
        <f>Table224578910112345678910111213[[#This Row],[PEMBULATAN]]*O34</f>
        <v>117809.99999999999</v>
      </c>
    </row>
    <row r="35" spans="1:16" ht="26.25" customHeight="1" x14ac:dyDescent="0.2">
      <c r="A35" s="104"/>
      <c r="B35" s="104"/>
      <c r="C35" s="3" t="s">
        <v>307</v>
      </c>
      <c r="D35" s="106" t="s">
        <v>59</v>
      </c>
      <c r="E35" s="93">
        <v>44506</v>
      </c>
      <c r="F35" s="92" t="s">
        <v>169</v>
      </c>
      <c r="G35" s="93">
        <v>44507</v>
      </c>
      <c r="H35" s="1" t="s">
        <v>170</v>
      </c>
      <c r="I35" s="92">
        <v>36</v>
      </c>
      <c r="J35" s="92">
        <v>33</v>
      </c>
      <c r="K35" s="92">
        <v>18</v>
      </c>
      <c r="L35" s="92">
        <v>12</v>
      </c>
      <c r="M35" s="94">
        <v>5.3460000000000001</v>
      </c>
      <c r="N35" s="109">
        <v>12</v>
      </c>
      <c r="O35" s="58">
        <v>7000</v>
      </c>
      <c r="P35" s="59">
        <f>Table224578910112345678910111213[[#This Row],[PEMBULATAN]]*O35</f>
        <v>84000</v>
      </c>
    </row>
    <row r="36" spans="1:16" ht="26.25" customHeight="1" x14ac:dyDescent="0.2">
      <c r="A36" s="104"/>
      <c r="B36" s="104"/>
      <c r="C36" s="92" t="s">
        <v>308</v>
      </c>
      <c r="D36" s="106" t="s">
        <v>59</v>
      </c>
      <c r="E36" s="93">
        <v>44506</v>
      </c>
      <c r="F36" s="92" t="s">
        <v>169</v>
      </c>
      <c r="G36" s="93">
        <v>44507</v>
      </c>
      <c r="H36" s="1" t="s">
        <v>170</v>
      </c>
      <c r="I36" s="92">
        <v>31</v>
      </c>
      <c r="J36" s="92">
        <v>22</v>
      </c>
      <c r="K36" s="92">
        <v>18</v>
      </c>
      <c r="L36" s="92">
        <v>7</v>
      </c>
      <c r="M36" s="94">
        <v>3.069</v>
      </c>
      <c r="N36" s="109">
        <v>7</v>
      </c>
      <c r="O36" s="58">
        <v>7000</v>
      </c>
      <c r="P36" s="59">
        <f>Table224578910112345678910111213[[#This Row],[PEMBULATAN]]*O36</f>
        <v>49000</v>
      </c>
    </row>
    <row r="37" spans="1:16" ht="26.25" customHeight="1" x14ac:dyDescent="0.2">
      <c r="A37" s="104"/>
      <c r="B37" s="104"/>
      <c r="C37" s="92" t="s">
        <v>309</v>
      </c>
      <c r="D37" s="106" t="s">
        <v>59</v>
      </c>
      <c r="E37" s="93">
        <v>44506</v>
      </c>
      <c r="F37" s="92" t="s">
        <v>169</v>
      </c>
      <c r="G37" s="93">
        <v>44507</v>
      </c>
      <c r="H37" s="1" t="s">
        <v>170</v>
      </c>
      <c r="I37" s="92">
        <v>31</v>
      </c>
      <c r="J37" s="92">
        <v>22</v>
      </c>
      <c r="K37" s="92">
        <v>18</v>
      </c>
      <c r="L37" s="92">
        <v>7</v>
      </c>
      <c r="M37" s="94">
        <v>3.069</v>
      </c>
      <c r="N37" s="109">
        <v>7</v>
      </c>
      <c r="O37" s="58">
        <v>7000</v>
      </c>
      <c r="P37" s="59">
        <f>Table224578910112345678910111213[[#This Row],[PEMBULATAN]]*O37</f>
        <v>49000</v>
      </c>
    </row>
    <row r="38" spans="1:16" ht="26.25" customHeight="1" x14ac:dyDescent="0.2">
      <c r="A38" s="104"/>
      <c r="B38" s="104"/>
      <c r="C38" s="92" t="s">
        <v>310</v>
      </c>
      <c r="D38" s="106" t="s">
        <v>59</v>
      </c>
      <c r="E38" s="93">
        <v>44506</v>
      </c>
      <c r="F38" s="92" t="s">
        <v>169</v>
      </c>
      <c r="G38" s="93">
        <v>44507</v>
      </c>
      <c r="H38" s="1" t="s">
        <v>170</v>
      </c>
      <c r="I38" s="92">
        <v>31</v>
      </c>
      <c r="J38" s="92">
        <v>22</v>
      </c>
      <c r="K38" s="92">
        <v>18</v>
      </c>
      <c r="L38" s="92">
        <v>7</v>
      </c>
      <c r="M38" s="94">
        <v>3.069</v>
      </c>
      <c r="N38" s="109">
        <v>7</v>
      </c>
      <c r="O38" s="58">
        <v>7000</v>
      </c>
      <c r="P38" s="59">
        <f>Table224578910112345678910111213[[#This Row],[PEMBULATAN]]*O38</f>
        <v>49000</v>
      </c>
    </row>
    <row r="39" spans="1:16" ht="26.25" customHeight="1" x14ac:dyDescent="0.2">
      <c r="A39" s="104"/>
      <c r="B39" s="104"/>
      <c r="C39" s="92" t="s">
        <v>311</v>
      </c>
      <c r="D39" s="106" t="s">
        <v>59</v>
      </c>
      <c r="E39" s="93">
        <v>44506</v>
      </c>
      <c r="F39" s="92" t="s">
        <v>169</v>
      </c>
      <c r="G39" s="93">
        <v>44507</v>
      </c>
      <c r="H39" s="1" t="s">
        <v>170</v>
      </c>
      <c r="I39" s="92">
        <v>31</v>
      </c>
      <c r="J39" s="92">
        <v>22</v>
      </c>
      <c r="K39" s="92">
        <v>18</v>
      </c>
      <c r="L39" s="92">
        <v>7</v>
      </c>
      <c r="M39" s="94">
        <v>3.069</v>
      </c>
      <c r="N39" s="109">
        <v>7</v>
      </c>
      <c r="O39" s="58">
        <v>7000</v>
      </c>
      <c r="P39" s="59">
        <f>Table224578910112345678910111213[[#This Row],[PEMBULATAN]]*O39</f>
        <v>49000</v>
      </c>
    </row>
    <row r="40" spans="1:16" ht="26.25" customHeight="1" x14ac:dyDescent="0.2">
      <c r="A40" s="105"/>
      <c r="B40" s="105"/>
      <c r="C40" s="92" t="s">
        <v>312</v>
      </c>
      <c r="D40" s="106" t="s">
        <v>59</v>
      </c>
      <c r="E40" s="93">
        <v>44506</v>
      </c>
      <c r="F40" s="92" t="s">
        <v>169</v>
      </c>
      <c r="G40" s="93">
        <v>44507</v>
      </c>
      <c r="H40" s="1" t="s">
        <v>170</v>
      </c>
      <c r="I40" s="92">
        <v>45</v>
      </c>
      <c r="J40" s="92">
        <v>35</v>
      </c>
      <c r="K40" s="92">
        <v>29</v>
      </c>
      <c r="L40" s="92">
        <v>9</v>
      </c>
      <c r="M40" s="94">
        <v>11.418749999999999</v>
      </c>
      <c r="N40" s="109">
        <v>12</v>
      </c>
      <c r="O40" s="58">
        <v>7000</v>
      </c>
      <c r="P40" s="59">
        <f>Table224578910112345678910111213[[#This Row],[PEMBULATAN]]*O40</f>
        <v>84000</v>
      </c>
    </row>
    <row r="41" spans="1:16" ht="22.5" customHeight="1" x14ac:dyDescent="0.2">
      <c r="A41" s="145" t="s">
        <v>30</v>
      </c>
      <c r="B41" s="146"/>
      <c r="C41" s="146"/>
      <c r="D41" s="146"/>
      <c r="E41" s="146"/>
      <c r="F41" s="146"/>
      <c r="G41" s="146"/>
      <c r="H41" s="146"/>
      <c r="I41" s="146"/>
      <c r="J41" s="146"/>
      <c r="K41" s="146"/>
      <c r="L41" s="147"/>
      <c r="M41" s="73">
        <f>SUBTOTAL(109,Table224578910112345678910111213[KG VOLUME])</f>
        <v>844.50549999999998</v>
      </c>
      <c r="N41" s="62">
        <f>SUM(N3:N40)</f>
        <v>982.31575000000009</v>
      </c>
      <c r="O41" s="148">
        <f>SUM(P3:P40)</f>
        <v>6876210.25</v>
      </c>
      <c r="P41" s="149"/>
    </row>
    <row r="42" spans="1:16" ht="18" customHeight="1" x14ac:dyDescent="0.2">
      <c r="A42" s="80"/>
      <c r="B42" s="50" t="s">
        <v>42</v>
      </c>
      <c r="C42" s="49"/>
      <c r="D42" s="51" t="s">
        <v>43</v>
      </c>
      <c r="E42" s="80"/>
      <c r="F42" s="80"/>
      <c r="G42" s="80"/>
      <c r="H42" s="80"/>
      <c r="I42" s="80"/>
      <c r="J42" s="80"/>
      <c r="K42" s="80"/>
      <c r="L42" s="80"/>
      <c r="M42" s="81"/>
      <c r="N42" s="82" t="s">
        <v>52</v>
      </c>
      <c r="O42" s="83"/>
      <c r="P42" s="83">
        <v>0</v>
      </c>
    </row>
    <row r="43" spans="1:16" ht="18" customHeight="1" thickBot="1" x14ac:dyDescent="0.25">
      <c r="A43" s="80"/>
      <c r="B43" s="50"/>
      <c r="C43" s="49"/>
      <c r="D43" s="51"/>
      <c r="E43" s="80"/>
      <c r="F43" s="80"/>
      <c r="G43" s="80"/>
      <c r="H43" s="80"/>
      <c r="I43" s="80"/>
      <c r="J43" s="80"/>
      <c r="K43" s="80"/>
      <c r="L43" s="80"/>
      <c r="M43" s="81"/>
      <c r="N43" s="84" t="s">
        <v>53</v>
      </c>
      <c r="O43" s="85"/>
      <c r="P43" s="85">
        <f>O41-P42</f>
        <v>6876210.25</v>
      </c>
    </row>
    <row r="44" spans="1:16" ht="18" customHeight="1" x14ac:dyDescent="0.2">
      <c r="A44" s="11"/>
      <c r="H44" s="57"/>
      <c r="N44" s="56" t="s">
        <v>31</v>
      </c>
      <c r="P44" s="63">
        <f>P43*1%</f>
        <v>68762.102500000008</v>
      </c>
    </row>
    <row r="45" spans="1:16" ht="18" customHeight="1" thickBot="1" x14ac:dyDescent="0.25">
      <c r="A45" s="11"/>
      <c r="H45" s="57"/>
      <c r="N45" s="56" t="s">
        <v>54</v>
      </c>
      <c r="P45" s="65">
        <f>P43*2%</f>
        <v>137524.20500000002</v>
      </c>
    </row>
    <row r="46" spans="1:16" ht="18" customHeight="1" x14ac:dyDescent="0.2">
      <c r="A46" s="11"/>
      <c r="H46" s="57"/>
      <c r="N46" s="60" t="s">
        <v>32</v>
      </c>
      <c r="O46" s="61"/>
      <c r="P46" s="64">
        <f>P43+P44-P45</f>
        <v>6807448.1475</v>
      </c>
    </row>
    <row r="48" spans="1:16" x14ac:dyDescent="0.2">
      <c r="A48" s="11"/>
      <c r="H48" s="57"/>
      <c r="P48" s="65"/>
    </row>
    <row r="49" spans="1:16" x14ac:dyDescent="0.2">
      <c r="A49" s="11"/>
      <c r="H49" s="57"/>
      <c r="O49" s="52"/>
      <c r="P49" s="65"/>
    </row>
    <row r="50" spans="1:16" s="3" customFormat="1" x14ac:dyDescent="0.25">
      <c r="A50" s="11"/>
      <c r="B50" s="2"/>
      <c r="C50" s="2"/>
      <c r="E50" s="12"/>
      <c r="H50" s="57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57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57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57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57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57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57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57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57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57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57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57"/>
      <c r="N61" s="15"/>
      <c r="O61" s="15"/>
      <c r="P61" s="15"/>
    </row>
  </sheetData>
  <mergeCells count="2">
    <mergeCell ref="A41:L41"/>
    <mergeCell ref="O41:P41"/>
  </mergeCells>
  <conditionalFormatting sqref="B3">
    <cfRule type="duplicateValues" dxfId="507" priority="2"/>
  </conditionalFormatting>
  <conditionalFormatting sqref="B4">
    <cfRule type="duplicateValues" dxfId="506" priority="1"/>
  </conditionalFormatting>
  <conditionalFormatting sqref="B5:B40">
    <cfRule type="duplicateValues" dxfId="505" priority="12"/>
  </conditionalFormatting>
  <hyperlinks>
    <hyperlink ref="C22" r:id="rId1" display="https://www.sicepat.com/"/>
    <hyperlink ref="C25" r:id="rId2" display="https://www.sicepat.com/"/>
  </hyperlinks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3"/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6"/>
  <sheetViews>
    <sheetView zoomScale="110" zoomScaleNormal="110" workbookViewId="0">
      <pane xSplit="3" ySplit="2" topLeftCell="D12" activePane="bottomRight" state="frozen"/>
      <selection pane="topRight" activeCell="B1" sqref="B1"/>
      <selection pane="bottomLeft" activeCell="A3" sqref="A3"/>
      <selection pane="bottomRight" activeCell="O17" sqref="O17"/>
    </sheetView>
  </sheetViews>
  <sheetFormatPr defaultRowHeight="15" x14ac:dyDescent="0.2"/>
  <cols>
    <col min="1" max="1" width="8" style="4" customWidth="1"/>
    <col min="2" max="2" width="19.5703125" style="2" customWidth="1"/>
    <col min="3" max="3" width="16.28515625" style="2" customWidth="1"/>
    <col min="4" max="4" width="9" style="3" customWidth="1"/>
    <col min="5" max="5" width="9.7109375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3">
        <v>404015</v>
      </c>
      <c r="B3" s="103" t="s">
        <v>313</v>
      </c>
      <c r="C3" s="92" t="s">
        <v>314</v>
      </c>
      <c r="D3" s="106" t="s">
        <v>59</v>
      </c>
      <c r="E3" s="93">
        <v>44507</v>
      </c>
      <c r="F3" s="92" t="s">
        <v>169</v>
      </c>
      <c r="G3" s="93">
        <v>44511</v>
      </c>
      <c r="H3" s="92" t="s">
        <v>343</v>
      </c>
      <c r="I3" s="92">
        <v>102</v>
      </c>
      <c r="J3" s="92">
        <v>28</v>
      </c>
      <c r="K3" s="92">
        <v>28</v>
      </c>
      <c r="L3" s="92">
        <v>10</v>
      </c>
      <c r="M3" s="94">
        <v>19.992000000000001</v>
      </c>
      <c r="N3" s="109">
        <v>19.992000000000001</v>
      </c>
      <c r="O3" s="58">
        <v>7000</v>
      </c>
      <c r="P3" s="59">
        <f>Table22457891011234567891011121314[[#This Row],[PEMBULATAN]]*O3</f>
        <v>139944</v>
      </c>
    </row>
    <row r="4" spans="1:16" ht="26.25" customHeight="1" x14ac:dyDescent="0.2">
      <c r="A4" s="104"/>
      <c r="B4" s="104"/>
      <c r="C4" s="92" t="s">
        <v>315</v>
      </c>
      <c r="D4" s="106" t="s">
        <v>59</v>
      </c>
      <c r="E4" s="93">
        <v>44507</v>
      </c>
      <c r="F4" s="92" t="s">
        <v>169</v>
      </c>
      <c r="G4" s="93">
        <v>44511</v>
      </c>
      <c r="H4" s="92" t="s">
        <v>343</v>
      </c>
      <c r="I4" s="92">
        <v>40</v>
      </c>
      <c r="J4" s="92">
        <v>27</v>
      </c>
      <c r="K4" s="92">
        <v>40</v>
      </c>
      <c r="L4" s="92">
        <v>20</v>
      </c>
      <c r="M4" s="94">
        <v>10.8</v>
      </c>
      <c r="N4" s="109">
        <v>20</v>
      </c>
      <c r="O4" s="58">
        <v>7000</v>
      </c>
      <c r="P4" s="59">
        <f>Table22457891011234567891011121314[[#This Row],[PEMBULATAN]]*O4</f>
        <v>140000</v>
      </c>
    </row>
    <row r="5" spans="1:16" ht="26.25" customHeight="1" x14ac:dyDescent="0.2">
      <c r="A5" s="104"/>
      <c r="B5" s="104"/>
      <c r="C5" s="92" t="s">
        <v>316</v>
      </c>
      <c r="D5" s="106" t="s">
        <v>59</v>
      </c>
      <c r="E5" s="93">
        <v>44507</v>
      </c>
      <c r="F5" s="92" t="s">
        <v>169</v>
      </c>
      <c r="G5" s="93">
        <v>44511</v>
      </c>
      <c r="H5" s="92" t="s">
        <v>343</v>
      </c>
      <c r="I5" s="92">
        <v>40</v>
      </c>
      <c r="J5" s="92">
        <v>27</v>
      </c>
      <c r="K5" s="92">
        <v>40</v>
      </c>
      <c r="L5" s="92">
        <v>20</v>
      </c>
      <c r="M5" s="94">
        <v>10.8</v>
      </c>
      <c r="N5" s="109">
        <v>20</v>
      </c>
      <c r="O5" s="58">
        <v>7000</v>
      </c>
      <c r="P5" s="59">
        <f>Table22457891011234567891011121314[[#This Row],[PEMBULATAN]]*O5</f>
        <v>140000</v>
      </c>
    </row>
    <row r="6" spans="1:16" ht="26.25" customHeight="1" x14ac:dyDescent="0.2">
      <c r="A6" s="104"/>
      <c r="B6" s="104"/>
      <c r="C6" s="92" t="s">
        <v>317</v>
      </c>
      <c r="D6" s="106" t="s">
        <v>59</v>
      </c>
      <c r="E6" s="93">
        <v>44507</v>
      </c>
      <c r="F6" s="92" t="s">
        <v>169</v>
      </c>
      <c r="G6" s="93">
        <v>44511</v>
      </c>
      <c r="H6" s="92" t="s">
        <v>343</v>
      </c>
      <c r="I6" s="92">
        <v>80</v>
      </c>
      <c r="J6" s="92">
        <v>70</v>
      </c>
      <c r="K6" s="92">
        <v>25</v>
      </c>
      <c r="L6" s="92">
        <v>25</v>
      </c>
      <c r="M6" s="94">
        <v>35</v>
      </c>
      <c r="N6" s="109">
        <v>35</v>
      </c>
      <c r="O6" s="58">
        <v>7000</v>
      </c>
      <c r="P6" s="59">
        <f>Table22457891011234567891011121314[[#This Row],[PEMBULATAN]]*O6</f>
        <v>245000</v>
      </c>
    </row>
    <row r="7" spans="1:16" ht="26.25" customHeight="1" x14ac:dyDescent="0.2">
      <c r="A7" s="104"/>
      <c r="B7" s="104"/>
      <c r="C7" s="92" t="s">
        <v>318</v>
      </c>
      <c r="D7" s="106" t="s">
        <v>59</v>
      </c>
      <c r="E7" s="93">
        <v>44507</v>
      </c>
      <c r="F7" s="92" t="s">
        <v>169</v>
      </c>
      <c r="G7" s="93">
        <v>44511</v>
      </c>
      <c r="H7" s="92" t="s">
        <v>343</v>
      </c>
      <c r="I7" s="92">
        <v>80</v>
      </c>
      <c r="J7" s="92">
        <v>70</v>
      </c>
      <c r="K7" s="92">
        <v>25</v>
      </c>
      <c r="L7" s="92">
        <v>25</v>
      </c>
      <c r="M7" s="94">
        <v>35</v>
      </c>
      <c r="N7" s="109">
        <v>35</v>
      </c>
      <c r="O7" s="58">
        <v>7000</v>
      </c>
      <c r="P7" s="59">
        <f>Table22457891011234567891011121314[[#This Row],[PEMBULATAN]]*O7</f>
        <v>245000</v>
      </c>
    </row>
    <row r="8" spans="1:16" ht="26.25" customHeight="1" x14ac:dyDescent="0.2">
      <c r="A8" s="104"/>
      <c r="B8" s="104"/>
      <c r="C8" s="92" t="s">
        <v>319</v>
      </c>
      <c r="D8" s="106" t="s">
        <v>59</v>
      </c>
      <c r="E8" s="93">
        <v>44507</v>
      </c>
      <c r="F8" s="92" t="s">
        <v>169</v>
      </c>
      <c r="G8" s="93">
        <v>44511</v>
      </c>
      <c r="H8" s="92" t="s">
        <v>343</v>
      </c>
      <c r="I8" s="92">
        <v>100</v>
      </c>
      <c r="J8" s="92">
        <v>69</v>
      </c>
      <c r="K8" s="92">
        <v>23</v>
      </c>
      <c r="L8" s="92">
        <v>5</v>
      </c>
      <c r="M8" s="94">
        <v>39.674999999999997</v>
      </c>
      <c r="N8" s="109">
        <v>39.674999999999997</v>
      </c>
      <c r="O8" s="58">
        <v>7000</v>
      </c>
      <c r="P8" s="59">
        <f>Table22457891011234567891011121314[[#This Row],[PEMBULATAN]]*O8</f>
        <v>277725</v>
      </c>
    </row>
    <row r="9" spans="1:16" ht="26.25" customHeight="1" x14ac:dyDescent="0.2">
      <c r="A9" s="104"/>
      <c r="B9" s="104"/>
      <c r="C9" s="92" t="s">
        <v>320</v>
      </c>
      <c r="D9" s="106" t="s">
        <v>59</v>
      </c>
      <c r="E9" s="93">
        <v>44507</v>
      </c>
      <c r="F9" s="92" t="s">
        <v>169</v>
      </c>
      <c r="G9" s="93">
        <v>44511</v>
      </c>
      <c r="H9" s="92" t="s">
        <v>343</v>
      </c>
      <c r="I9" s="92">
        <v>34</v>
      </c>
      <c r="J9" s="92">
        <v>30</v>
      </c>
      <c r="K9" s="92">
        <v>15</v>
      </c>
      <c r="L9" s="92">
        <v>8</v>
      </c>
      <c r="M9" s="94">
        <v>3.8250000000000002</v>
      </c>
      <c r="N9" s="109">
        <v>8</v>
      </c>
      <c r="O9" s="58">
        <v>7000</v>
      </c>
      <c r="P9" s="59">
        <f>Table22457891011234567891011121314[[#This Row],[PEMBULATAN]]*O9</f>
        <v>56000</v>
      </c>
    </row>
    <row r="10" spans="1:16" ht="26.25" customHeight="1" x14ac:dyDescent="0.2">
      <c r="A10" s="104"/>
      <c r="B10" s="104"/>
      <c r="C10" s="95" t="s">
        <v>321</v>
      </c>
      <c r="D10" s="106" t="s">
        <v>59</v>
      </c>
      <c r="E10" s="93">
        <v>44507</v>
      </c>
      <c r="F10" s="92" t="s">
        <v>169</v>
      </c>
      <c r="G10" s="93">
        <v>44511</v>
      </c>
      <c r="H10" s="92" t="s">
        <v>343</v>
      </c>
      <c r="I10" s="92">
        <v>40</v>
      </c>
      <c r="J10" s="92">
        <v>28</v>
      </c>
      <c r="K10" s="92">
        <v>40</v>
      </c>
      <c r="L10" s="92">
        <v>20</v>
      </c>
      <c r="M10" s="94">
        <v>11.2</v>
      </c>
      <c r="N10" s="109">
        <v>20</v>
      </c>
      <c r="O10" s="58">
        <v>7000</v>
      </c>
      <c r="P10" s="59">
        <f>Table22457891011234567891011121314[[#This Row],[PEMBULATAN]]*O10</f>
        <v>140000</v>
      </c>
    </row>
    <row r="11" spans="1:16" ht="26.25" customHeight="1" x14ac:dyDescent="0.2">
      <c r="A11" s="104"/>
      <c r="B11" s="104"/>
      <c r="C11" s="92" t="s">
        <v>322</v>
      </c>
      <c r="D11" s="106" t="s">
        <v>59</v>
      </c>
      <c r="E11" s="93">
        <v>44507</v>
      </c>
      <c r="F11" s="92" t="s">
        <v>169</v>
      </c>
      <c r="G11" s="93">
        <v>44511</v>
      </c>
      <c r="H11" s="92" t="s">
        <v>343</v>
      </c>
      <c r="I11" s="92">
        <v>40</v>
      </c>
      <c r="J11" s="92">
        <v>28</v>
      </c>
      <c r="K11" s="92">
        <v>40</v>
      </c>
      <c r="L11" s="92">
        <v>20</v>
      </c>
      <c r="M11" s="94">
        <v>11.2</v>
      </c>
      <c r="N11" s="109">
        <v>20</v>
      </c>
      <c r="O11" s="58">
        <v>7000</v>
      </c>
      <c r="P11" s="59">
        <f>Table22457891011234567891011121314[[#This Row],[PEMBULATAN]]*O11</f>
        <v>140000</v>
      </c>
    </row>
    <row r="12" spans="1:16" ht="26.25" customHeight="1" x14ac:dyDescent="0.2">
      <c r="A12" s="104"/>
      <c r="B12" s="104"/>
      <c r="C12" s="92" t="s">
        <v>323</v>
      </c>
      <c r="D12" s="106" t="s">
        <v>59</v>
      </c>
      <c r="E12" s="93">
        <v>44507</v>
      </c>
      <c r="F12" s="92" t="s">
        <v>169</v>
      </c>
      <c r="G12" s="93">
        <v>44511</v>
      </c>
      <c r="H12" s="92" t="s">
        <v>343</v>
      </c>
      <c r="I12" s="92">
        <v>40</v>
      </c>
      <c r="J12" s="92">
        <v>28</v>
      </c>
      <c r="K12" s="92">
        <v>40</v>
      </c>
      <c r="L12" s="92">
        <v>20</v>
      </c>
      <c r="M12" s="94">
        <v>11.2</v>
      </c>
      <c r="N12" s="109">
        <v>20</v>
      </c>
      <c r="O12" s="58">
        <v>7000</v>
      </c>
      <c r="P12" s="59">
        <f>Table22457891011234567891011121314[[#This Row],[PEMBULATAN]]*O12</f>
        <v>140000</v>
      </c>
    </row>
    <row r="13" spans="1:16" ht="26.25" customHeight="1" x14ac:dyDescent="0.2">
      <c r="A13" s="104"/>
      <c r="B13" s="104"/>
      <c r="C13" s="92" t="s">
        <v>324</v>
      </c>
      <c r="D13" s="106" t="s">
        <v>59</v>
      </c>
      <c r="E13" s="93">
        <v>44507</v>
      </c>
      <c r="F13" s="92" t="s">
        <v>169</v>
      </c>
      <c r="G13" s="93">
        <v>44511</v>
      </c>
      <c r="H13" s="92" t="s">
        <v>343</v>
      </c>
      <c r="I13" s="92">
        <v>40</v>
      </c>
      <c r="J13" s="92">
        <v>28</v>
      </c>
      <c r="K13" s="92">
        <v>40</v>
      </c>
      <c r="L13" s="92">
        <v>20</v>
      </c>
      <c r="M13" s="94">
        <v>11.2</v>
      </c>
      <c r="N13" s="109">
        <v>20</v>
      </c>
      <c r="O13" s="58">
        <v>7000</v>
      </c>
      <c r="P13" s="59">
        <f>Table22457891011234567891011121314[[#This Row],[PEMBULATAN]]*O13</f>
        <v>140000</v>
      </c>
    </row>
    <row r="14" spans="1:16" ht="26.25" customHeight="1" x14ac:dyDescent="0.2">
      <c r="A14" s="104"/>
      <c r="B14" s="105"/>
      <c r="C14" s="92" t="s">
        <v>325</v>
      </c>
      <c r="D14" s="106" t="s">
        <v>59</v>
      </c>
      <c r="E14" s="93">
        <v>44507</v>
      </c>
      <c r="F14" s="92" t="s">
        <v>169</v>
      </c>
      <c r="G14" s="93">
        <v>44511</v>
      </c>
      <c r="H14" s="92" t="s">
        <v>343</v>
      </c>
      <c r="I14" s="92">
        <v>38</v>
      </c>
      <c r="J14" s="92">
        <v>32</v>
      </c>
      <c r="K14" s="92">
        <v>27</v>
      </c>
      <c r="L14" s="92">
        <v>13</v>
      </c>
      <c r="M14" s="94">
        <v>8.2080000000000002</v>
      </c>
      <c r="N14" s="109">
        <v>13</v>
      </c>
      <c r="O14" s="58">
        <v>7000</v>
      </c>
      <c r="P14" s="59">
        <f>Table22457891011234567891011121314[[#This Row],[PEMBULATAN]]*O14</f>
        <v>91000</v>
      </c>
    </row>
    <row r="15" spans="1:16" ht="26.25" customHeight="1" x14ac:dyDescent="0.2">
      <c r="A15" s="105"/>
      <c r="B15" s="105" t="s">
        <v>326</v>
      </c>
      <c r="C15" s="1" t="s">
        <v>327</v>
      </c>
      <c r="D15" s="106" t="s">
        <v>59</v>
      </c>
      <c r="E15" s="93">
        <v>44507</v>
      </c>
      <c r="F15" s="92" t="s">
        <v>169</v>
      </c>
      <c r="G15" s="93">
        <v>44511</v>
      </c>
      <c r="H15" s="92" t="s">
        <v>343</v>
      </c>
      <c r="I15" s="92">
        <v>38</v>
      </c>
      <c r="J15" s="92">
        <v>26</v>
      </c>
      <c r="K15" s="92">
        <v>33</v>
      </c>
      <c r="L15" s="92">
        <v>15</v>
      </c>
      <c r="M15" s="94">
        <v>8.1509999999999998</v>
      </c>
      <c r="N15" s="109">
        <v>15</v>
      </c>
      <c r="O15" s="58">
        <v>7000</v>
      </c>
      <c r="P15" s="59">
        <f>Table22457891011234567891011121314[[#This Row],[PEMBULATAN]]*O15</f>
        <v>105000</v>
      </c>
    </row>
    <row r="16" spans="1:16" ht="22.5" customHeight="1" x14ac:dyDescent="0.2">
      <c r="A16" s="145" t="s">
        <v>30</v>
      </c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7"/>
      <c r="M16" s="73">
        <f>SUBTOTAL(109,Table22457891011234567891011121314[KG VOLUME])</f>
        <v>216.25099999999995</v>
      </c>
      <c r="N16" s="62">
        <f>SUM(N3:N15)</f>
        <v>285.66700000000003</v>
      </c>
      <c r="O16" s="148">
        <f>SUM(P3:P15)</f>
        <v>1999669</v>
      </c>
      <c r="P16" s="149"/>
    </row>
    <row r="17" spans="1:16" ht="18" customHeight="1" x14ac:dyDescent="0.2">
      <c r="A17" s="80"/>
      <c r="B17" s="50" t="s">
        <v>42</v>
      </c>
      <c r="C17" s="49"/>
      <c r="D17" s="51" t="s">
        <v>43</v>
      </c>
      <c r="E17" s="80"/>
      <c r="F17" s="80"/>
      <c r="G17" s="80"/>
      <c r="H17" s="80"/>
      <c r="I17" s="80"/>
      <c r="J17" s="80"/>
      <c r="K17" s="80"/>
      <c r="L17" s="80"/>
      <c r="M17" s="81"/>
      <c r="N17" s="82" t="s">
        <v>52</v>
      </c>
      <c r="O17" s="83"/>
      <c r="P17" s="83">
        <v>0</v>
      </c>
    </row>
    <row r="18" spans="1:16" ht="18" customHeight="1" thickBot="1" x14ac:dyDescent="0.25">
      <c r="A18" s="80"/>
      <c r="B18" s="50"/>
      <c r="C18" s="49"/>
      <c r="D18" s="51"/>
      <c r="E18" s="80"/>
      <c r="F18" s="80"/>
      <c r="G18" s="80"/>
      <c r="H18" s="80"/>
      <c r="I18" s="80"/>
      <c r="J18" s="80"/>
      <c r="K18" s="80"/>
      <c r="L18" s="80"/>
      <c r="M18" s="81"/>
      <c r="N18" s="84" t="s">
        <v>53</v>
      </c>
      <c r="O18" s="85"/>
      <c r="P18" s="85">
        <f>O16-P17</f>
        <v>1999669</v>
      </c>
    </row>
    <row r="19" spans="1:16" ht="18" customHeight="1" x14ac:dyDescent="0.2">
      <c r="A19" s="11"/>
      <c r="H19" s="57"/>
      <c r="N19" s="56" t="s">
        <v>31</v>
      </c>
      <c r="P19" s="63">
        <f>P18*1%</f>
        <v>19996.689999999999</v>
      </c>
    </row>
    <row r="20" spans="1:16" ht="18" customHeight="1" thickBot="1" x14ac:dyDescent="0.25">
      <c r="A20" s="11"/>
      <c r="H20" s="57"/>
      <c r="N20" s="56" t="s">
        <v>54</v>
      </c>
      <c r="P20" s="65">
        <f>P18*2%</f>
        <v>39993.379999999997</v>
      </c>
    </row>
    <row r="21" spans="1:16" ht="18" customHeight="1" x14ac:dyDescent="0.2">
      <c r="A21" s="11"/>
      <c r="H21" s="57"/>
      <c r="N21" s="60" t="s">
        <v>32</v>
      </c>
      <c r="O21" s="61"/>
      <c r="P21" s="64">
        <f>P18+P19-P20</f>
        <v>1979672.31</v>
      </c>
    </row>
    <row r="23" spans="1:16" x14ac:dyDescent="0.2">
      <c r="A23" s="11"/>
      <c r="H23" s="57"/>
      <c r="P23" s="65"/>
    </row>
    <row r="24" spans="1:16" x14ac:dyDescent="0.2">
      <c r="A24" s="11"/>
      <c r="H24" s="57"/>
      <c r="O24" s="52"/>
      <c r="P24" s="65"/>
    </row>
    <row r="25" spans="1:16" s="3" customFormat="1" x14ac:dyDescent="0.25">
      <c r="A25" s="11"/>
      <c r="B25" s="2"/>
      <c r="C25" s="2"/>
      <c r="E25" s="12"/>
      <c r="H25" s="57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57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57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57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57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57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57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57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57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57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57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57"/>
      <c r="N36" s="15"/>
      <c r="O36" s="15"/>
      <c r="P36" s="15"/>
    </row>
  </sheetData>
  <mergeCells count="2">
    <mergeCell ref="A16:L16"/>
    <mergeCell ref="O16:P16"/>
  </mergeCells>
  <conditionalFormatting sqref="C3:C14">
    <cfRule type="duplicateValues" dxfId="489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5"/>
  <sheetViews>
    <sheetView zoomScale="110" zoomScaleNormal="110" workbookViewId="0">
      <pane xSplit="3" ySplit="2" topLeftCell="D7" activePane="bottomRight" state="frozen"/>
      <selection pane="topRight" activeCell="B1" sqref="B1"/>
      <selection pane="bottomLeft" activeCell="A3" sqref="A3"/>
      <selection pane="bottomRight" activeCell="O16" sqref="O16"/>
    </sheetView>
  </sheetViews>
  <sheetFormatPr defaultRowHeight="15" x14ac:dyDescent="0.2"/>
  <cols>
    <col min="1" max="1" width="8" style="4" customWidth="1"/>
    <col min="2" max="2" width="21.285156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3">
        <v>402338</v>
      </c>
      <c r="B3" s="103" t="s">
        <v>328</v>
      </c>
      <c r="C3" s="92" t="s">
        <v>329</v>
      </c>
      <c r="D3" s="106" t="s">
        <v>59</v>
      </c>
      <c r="E3" s="93">
        <v>44507</v>
      </c>
      <c r="F3" s="92" t="s">
        <v>169</v>
      </c>
      <c r="G3" s="93">
        <v>44511</v>
      </c>
      <c r="H3" s="92" t="s">
        <v>343</v>
      </c>
      <c r="I3" s="92">
        <v>65</v>
      </c>
      <c r="J3" s="92">
        <v>37</v>
      </c>
      <c r="K3" s="92">
        <v>28</v>
      </c>
      <c r="L3" s="92">
        <v>20</v>
      </c>
      <c r="M3" s="94">
        <v>16.835000000000001</v>
      </c>
      <c r="N3" s="109">
        <v>20</v>
      </c>
      <c r="O3" s="58">
        <v>7000</v>
      </c>
      <c r="P3" s="59">
        <f>Table2245789101123456789101112131415[[#This Row],[PEMBULATAN]]*O3</f>
        <v>140000</v>
      </c>
    </row>
    <row r="4" spans="1:16" ht="26.25" customHeight="1" x14ac:dyDescent="0.2">
      <c r="A4" s="104"/>
      <c r="B4" s="104"/>
      <c r="C4" s="92" t="s">
        <v>330</v>
      </c>
      <c r="D4" s="106" t="s">
        <v>59</v>
      </c>
      <c r="E4" s="93">
        <v>44507</v>
      </c>
      <c r="F4" s="92" t="s">
        <v>169</v>
      </c>
      <c r="G4" s="93">
        <v>44511</v>
      </c>
      <c r="H4" s="92" t="s">
        <v>343</v>
      </c>
      <c r="I4" s="92">
        <v>27</v>
      </c>
      <c r="J4" s="92">
        <v>20</v>
      </c>
      <c r="K4" s="92">
        <v>37</v>
      </c>
      <c r="L4" s="92">
        <v>7</v>
      </c>
      <c r="M4" s="94">
        <v>4.9950000000000001</v>
      </c>
      <c r="N4" s="109">
        <v>7</v>
      </c>
      <c r="O4" s="58">
        <v>7000</v>
      </c>
      <c r="P4" s="59">
        <f>Table2245789101123456789101112131415[[#This Row],[PEMBULATAN]]*O4</f>
        <v>49000</v>
      </c>
    </row>
    <row r="5" spans="1:16" ht="26.25" customHeight="1" x14ac:dyDescent="0.2">
      <c r="A5" s="104"/>
      <c r="B5" s="104"/>
      <c r="C5" s="92" t="s">
        <v>331</v>
      </c>
      <c r="D5" s="106" t="s">
        <v>59</v>
      </c>
      <c r="E5" s="93">
        <v>44507</v>
      </c>
      <c r="F5" s="92" t="s">
        <v>169</v>
      </c>
      <c r="G5" s="93">
        <v>44511</v>
      </c>
      <c r="H5" s="92" t="s">
        <v>343</v>
      </c>
      <c r="I5" s="92">
        <v>100</v>
      </c>
      <c r="J5" s="92">
        <v>56</v>
      </c>
      <c r="K5" s="92">
        <v>20</v>
      </c>
      <c r="L5" s="92">
        <v>4</v>
      </c>
      <c r="M5" s="94">
        <v>28</v>
      </c>
      <c r="N5" s="109">
        <v>28</v>
      </c>
      <c r="O5" s="58">
        <v>7000</v>
      </c>
      <c r="P5" s="59">
        <f>Table2245789101123456789101112131415[[#This Row],[PEMBULATAN]]*O5</f>
        <v>196000</v>
      </c>
    </row>
    <row r="6" spans="1:16" ht="26.25" customHeight="1" x14ac:dyDescent="0.2">
      <c r="A6" s="104"/>
      <c r="B6" s="104"/>
      <c r="C6" s="92" t="s">
        <v>332</v>
      </c>
      <c r="D6" s="106" t="s">
        <v>59</v>
      </c>
      <c r="E6" s="93">
        <v>44507</v>
      </c>
      <c r="F6" s="92" t="s">
        <v>169</v>
      </c>
      <c r="G6" s="93">
        <v>44511</v>
      </c>
      <c r="H6" s="92" t="s">
        <v>343</v>
      </c>
      <c r="I6" s="92">
        <v>40</v>
      </c>
      <c r="J6" s="92">
        <v>27</v>
      </c>
      <c r="K6" s="92">
        <v>20</v>
      </c>
      <c r="L6" s="92">
        <v>8</v>
      </c>
      <c r="M6" s="94">
        <v>5.4</v>
      </c>
      <c r="N6" s="109">
        <v>8</v>
      </c>
      <c r="O6" s="58">
        <v>7000</v>
      </c>
      <c r="P6" s="59">
        <f>Table2245789101123456789101112131415[[#This Row],[PEMBULATAN]]*O6</f>
        <v>56000</v>
      </c>
    </row>
    <row r="7" spans="1:16" ht="26.25" customHeight="1" x14ac:dyDescent="0.2">
      <c r="A7" s="104"/>
      <c r="B7" s="104"/>
      <c r="C7" s="92" t="s">
        <v>333</v>
      </c>
      <c r="D7" s="106" t="s">
        <v>59</v>
      </c>
      <c r="E7" s="93">
        <v>44507</v>
      </c>
      <c r="F7" s="92" t="s">
        <v>169</v>
      </c>
      <c r="G7" s="93">
        <v>44511</v>
      </c>
      <c r="H7" s="92" t="s">
        <v>343</v>
      </c>
      <c r="I7" s="92">
        <v>38</v>
      </c>
      <c r="J7" s="92">
        <v>31</v>
      </c>
      <c r="K7" s="92">
        <v>28</v>
      </c>
      <c r="L7" s="92">
        <v>8</v>
      </c>
      <c r="M7" s="94">
        <v>8.2460000000000004</v>
      </c>
      <c r="N7" s="109">
        <v>8.2460000000000004</v>
      </c>
      <c r="O7" s="58">
        <v>7000</v>
      </c>
      <c r="P7" s="59">
        <f>Table2245789101123456789101112131415[[#This Row],[PEMBULATAN]]*O7</f>
        <v>57722</v>
      </c>
    </row>
    <row r="8" spans="1:16" ht="26.25" customHeight="1" x14ac:dyDescent="0.2">
      <c r="A8" s="104"/>
      <c r="B8" s="104"/>
      <c r="C8" s="92" t="s">
        <v>334</v>
      </c>
      <c r="D8" s="106" t="s">
        <v>59</v>
      </c>
      <c r="E8" s="93">
        <v>44507</v>
      </c>
      <c r="F8" s="92" t="s">
        <v>169</v>
      </c>
      <c r="G8" s="93">
        <v>44511</v>
      </c>
      <c r="H8" s="92" t="s">
        <v>343</v>
      </c>
      <c r="I8" s="92">
        <v>46</v>
      </c>
      <c r="J8" s="92">
        <v>36</v>
      </c>
      <c r="K8" s="92">
        <v>15</v>
      </c>
      <c r="L8" s="92">
        <v>3</v>
      </c>
      <c r="M8" s="94">
        <v>6.21</v>
      </c>
      <c r="N8" s="109">
        <v>6.21</v>
      </c>
      <c r="O8" s="58">
        <v>7000</v>
      </c>
      <c r="P8" s="59">
        <f>Table2245789101123456789101112131415[[#This Row],[PEMBULATAN]]*O8</f>
        <v>43470</v>
      </c>
    </row>
    <row r="9" spans="1:16" ht="26.25" customHeight="1" x14ac:dyDescent="0.2">
      <c r="A9" s="104"/>
      <c r="B9" s="104"/>
      <c r="C9" s="92" t="s">
        <v>335</v>
      </c>
      <c r="D9" s="106" t="s">
        <v>59</v>
      </c>
      <c r="E9" s="93">
        <v>44507</v>
      </c>
      <c r="F9" s="92" t="s">
        <v>169</v>
      </c>
      <c r="G9" s="93">
        <v>44511</v>
      </c>
      <c r="H9" s="92" t="s">
        <v>343</v>
      </c>
      <c r="I9" s="92">
        <v>68</v>
      </c>
      <c r="J9" s="92">
        <v>68</v>
      </c>
      <c r="K9" s="92">
        <v>48</v>
      </c>
      <c r="L9" s="92">
        <v>30</v>
      </c>
      <c r="M9" s="94">
        <v>55.488</v>
      </c>
      <c r="N9" s="109">
        <v>56</v>
      </c>
      <c r="O9" s="58">
        <v>7000</v>
      </c>
      <c r="P9" s="59">
        <f>Table2245789101123456789101112131415[[#This Row],[PEMBULATAN]]*O9</f>
        <v>392000</v>
      </c>
    </row>
    <row r="10" spans="1:16" ht="26.25" customHeight="1" x14ac:dyDescent="0.2">
      <c r="A10" s="104"/>
      <c r="B10" s="104"/>
      <c r="C10" s="92" t="s">
        <v>336</v>
      </c>
      <c r="D10" s="106" t="s">
        <v>59</v>
      </c>
      <c r="E10" s="93">
        <v>44507</v>
      </c>
      <c r="F10" s="92" t="s">
        <v>169</v>
      </c>
      <c r="G10" s="93">
        <v>44511</v>
      </c>
      <c r="H10" s="92" t="s">
        <v>343</v>
      </c>
      <c r="I10" s="92">
        <v>82</v>
      </c>
      <c r="J10" s="92">
        <v>42</v>
      </c>
      <c r="K10" s="92">
        <v>32</v>
      </c>
      <c r="L10" s="92">
        <v>30</v>
      </c>
      <c r="M10" s="94">
        <v>27.552</v>
      </c>
      <c r="N10" s="109">
        <v>30</v>
      </c>
      <c r="O10" s="58">
        <v>7000</v>
      </c>
      <c r="P10" s="59">
        <f>Table2245789101123456789101112131415[[#This Row],[PEMBULATAN]]*O10</f>
        <v>210000</v>
      </c>
    </row>
    <row r="11" spans="1:16" ht="26.25" customHeight="1" x14ac:dyDescent="0.2">
      <c r="A11" s="104"/>
      <c r="B11" s="105"/>
      <c r="C11" s="92" t="s">
        <v>337</v>
      </c>
      <c r="D11" s="106" t="s">
        <v>59</v>
      </c>
      <c r="E11" s="93">
        <v>44507</v>
      </c>
      <c r="F11" s="92" t="s">
        <v>169</v>
      </c>
      <c r="G11" s="93">
        <v>44511</v>
      </c>
      <c r="H11" s="92" t="s">
        <v>343</v>
      </c>
      <c r="I11" s="92">
        <v>44</v>
      </c>
      <c r="J11" s="92">
        <v>34</v>
      </c>
      <c r="K11" s="92">
        <v>26</v>
      </c>
      <c r="L11" s="92">
        <v>40</v>
      </c>
      <c r="M11" s="94">
        <v>9.7240000000000002</v>
      </c>
      <c r="N11" s="109">
        <v>40</v>
      </c>
      <c r="O11" s="58">
        <v>7000</v>
      </c>
      <c r="P11" s="59">
        <f>Table2245789101123456789101112131415[[#This Row],[PEMBULATAN]]*O11</f>
        <v>280000</v>
      </c>
    </row>
    <row r="12" spans="1:16" ht="26.25" customHeight="1" x14ac:dyDescent="0.2">
      <c r="A12" s="104"/>
      <c r="B12" s="104" t="s">
        <v>338</v>
      </c>
      <c r="C12" s="92" t="s">
        <v>339</v>
      </c>
      <c r="D12" s="106" t="s">
        <v>59</v>
      </c>
      <c r="E12" s="93">
        <v>44507</v>
      </c>
      <c r="F12" s="92" t="s">
        <v>169</v>
      </c>
      <c r="G12" s="93">
        <v>44511</v>
      </c>
      <c r="H12" s="92" t="s">
        <v>343</v>
      </c>
      <c r="I12" s="92">
        <v>70</v>
      </c>
      <c r="J12" s="92">
        <v>30</v>
      </c>
      <c r="K12" s="92">
        <v>12</v>
      </c>
      <c r="L12" s="92">
        <v>4</v>
      </c>
      <c r="M12" s="94">
        <v>6.3</v>
      </c>
      <c r="N12" s="109">
        <v>7</v>
      </c>
      <c r="O12" s="58">
        <v>7000</v>
      </c>
      <c r="P12" s="59">
        <f>Table2245789101123456789101112131415[[#This Row],[PEMBULATAN]]*O12</f>
        <v>49000</v>
      </c>
    </row>
    <row r="13" spans="1:16" ht="26.25" customHeight="1" x14ac:dyDescent="0.2">
      <c r="A13" s="104"/>
      <c r="B13" s="105"/>
      <c r="C13" s="92" t="s">
        <v>340</v>
      </c>
      <c r="D13" s="106" t="s">
        <v>59</v>
      </c>
      <c r="E13" s="93">
        <v>44507</v>
      </c>
      <c r="F13" s="92" t="s">
        <v>169</v>
      </c>
      <c r="G13" s="93">
        <v>44511</v>
      </c>
      <c r="H13" s="92" t="s">
        <v>343</v>
      </c>
      <c r="I13" s="92">
        <v>48</v>
      </c>
      <c r="J13" s="92">
        <v>43</v>
      </c>
      <c r="K13" s="92">
        <v>65</v>
      </c>
      <c r="L13" s="92">
        <v>36</v>
      </c>
      <c r="M13" s="94">
        <v>33.54</v>
      </c>
      <c r="N13" s="109">
        <v>36</v>
      </c>
      <c r="O13" s="58">
        <v>7000</v>
      </c>
      <c r="P13" s="59">
        <f>Table2245789101123456789101112131415[[#This Row],[PEMBULATAN]]*O13</f>
        <v>252000</v>
      </c>
    </row>
    <row r="14" spans="1:16" ht="26.25" customHeight="1" x14ac:dyDescent="0.2">
      <c r="A14" s="105"/>
      <c r="B14" s="105" t="s">
        <v>341</v>
      </c>
      <c r="C14" s="92" t="s">
        <v>342</v>
      </c>
      <c r="D14" s="106" t="s">
        <v>59</v>
      </c>
      <c r="E14" s="93">
        <v>44507</v>
      </c>
      <c r="F14" s="92" t="s">
        <v>169</v>
      </c>
      <c r="G14" s="93">
        <v>44511</v>
      </c>
      <c r="H14" s="92" t="s">
        <v>343</v>
      </c>
      <c r="I14" s="92">
        <v>33</v>
      </c>
      <c r="J14" s="92">
        <v>34</v>
      </c>
      <c r="K14" s="92">
        <v>17</v>
      </c>
      <c r="L14" s="92">
        <v>7</v>
      </c>
      <c r="M14" s="94">
        <v>4.7685000000000004</v>
      </c>
      <c r="N14" s="109">
        <v>7</v>
      </c>
      <c r="O14" s="58">
        <v>7000</v>
      </c>
      <c r="P14" s="59">
        <f>Table2245789101123456789101112131415[[#This Row],[PEMBULATAN]]*O14</f>
        <v>49000</v>
      </c>
    </row>
    <row r="15" spans="1:16" ht="22.5" customHeight="1" x14ac:dyDescent="0.2">
      <c r="A15" s="145" t="s">
        <v>30</v>
      </c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7"/>
      <c r="M15" s="73">
        <f>SUBTOTAL(109,Table2245789101123456789101112131415[KG VOLUME])</f>
        <v>207.05849999999998</v>
      </c>
      <c r="N15" s="62">
        <f>SUM(N3:N14)</f>
        <v>253.45599999999999</v>
      </c>
      <c r="O15" s="148">
        <f>SUM(P3:P14)</f>
        <v>1774192</v>
      </c>
      <c r="P15" s="149"/>
    </row>
    <row r="16" spans="1:16" ht="18" customHeight="1" x14ac:dyDescent="0.2">
      <c r="A16" s="80"/>
      <c r="B16" s="50" t="s">
        <v>42</v>
      </c>
      <c r="C16" s="49"/>
      <c r="D16" s="51" t="s">
        <v>43</v>
      </c>
      <c r="E16" s="80"/>
      <c r="F16" s="80"/>
      <c r="G16" s="80"/>
      <c r="H16" s="80"/>
      <c r="I16" s="80"/>
      <c r="J16" s="80"/>
      <c r="K16" s="80"/>
      <c r="L16" s="80"/>
      <c r="M16" s="81"/>
      <c r="N16" s="82" t="s">
        <v>52</v>
      </c>
      <c r="O16" s="83"/>
      <c r="P16" s="83">
        <v>0</v>
      </c>
    </row>
    <row r="17" spans="1:16" ht="18" customHeight="1" thickBot="1" x14ac:dyDescent="0.25">
      <c r="A17" s="80"/>
      <c r="B17" s="50"/>
      <c r="C17" s="49"/>
      <c r="D17" s="51"/>
      <c r="E17" s="80"/>
      <c r="F17" s="80"/>
      <c r="G17" s="80"/>
      <c r="H17" s="80"/>
      <c r="I17" s="80"/>
      <c r="J17" s="80"/>
      <c r="K17" s="80"/>
      <c r="L17" s="80"/>
      <c r="M17" s="81"/>
      <c r="N17" s="84" t="s">
        <v>53</v>
      </c>
      <c r="O17" s="85"/>
      <c r="P17" s="85">
        <f>O15-P16</f>
        <v>1774192</v>
      </c>
    </row>
    <row r="18" spans="1:16" ht="18" customHeight="1" x14ac:dyDescent="0.2">
      <c r="A18" s="11"/>
      <c r="H18" s="57"/>
      <c r="N18" s="56" t="s">
        <v>31</v>
      </c>
      <c r="P18" s="63">
        <f>P17*1%</f>
        <v>17741.920000000002</v>
      </c>
    </row>
    <row r="19" spans="1:16" ht="18" customHeight="1" thickBot="1" x14ac:dyDescent="0.25">
      <c r="A19" s="11"/>
      <c r="H19" s="57"/>
      <c r="N19" s="56" t="s">
        <v>54</v>
      </c>
      <c r="P19" s="65">
        <f>P17*2%</f>
        <v>35483.840000000004</v>
      </c>
    </row>
    <row r="20" spans="1:16" ht="18" customHeight="1" x14ac:dyDescent="0.2">
      <c r="A20" s="11"/>
      <c r="H20" s="57"/>
      <c r="N20" s="60" t="s">
        <v>32</v>
      </c>
      <c r="O20" s="61"/>
      <c r="P20" s="64">
        <f>P17+P18-P19</f>
        <v>1756450.0799999998</v>
      </c>
    </row>
    <row r="22" spans="1:16" x14ac:dyDescent="0.2">
      <c r="A22" s="11"/>
      <c r="H22" s="57"/>
      <c r="P22" s="65"/>
    </row>
    <row r="23" spans="1:16" x14ac:dyDescent="0.2">
      <c r="A23" s="11"/>
      <c r="H23" s="57"/>
      <c r="O23" s="52"/>
      <c r="P23" s="65"/>
    </row>
    <row r="24" spans="1:16" s="3" customFormat="1" x14ac:dyDescent="0.25">
      <c r="A24" s="11"/>
      <c r="B24" s="2"/>
      <c r="C24" s="2"/>
      <c r="E24" s="12"/>
      <c r="H24" s="57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7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57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57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57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57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57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57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57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57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57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57"/>
      <c r="N35" s="15"/>
      <c r="O35" s="15"/>
      <c r="P35" s="15"/>
    </row>
  </sheetData>
  <mergeCells count="2">
    <mergeCell ref="A15:L15"/>
    <mergeCell ref="O15:P15"/>
  </mergeCells>
  <conditionalFormatting sqref="C3:C11">
    <cfRule type="duplicateValues" dxfId="473" priority="3"/>
  </conditionalFormatting>
  <conditionalFormatting sqref="C12:C13">
    <cfRule type="duplicateValues" dxfId="472" priority="2"/>
  </conditionalFormatting>
  <conditionalFormatting sqref="C14">
    <cfRule type="duplicateValues" dxfId="471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6" sqref="O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3">
        <v>404016</v>
      </c>
      <c r="B3" s="103" t="s">
        <v>344</v>
      </c>
      <c r="C3" s="11" t="s">
        <v>345</v>
      </c>
      <c r="D3" s="106" t="s">
        <v>59</v>
      </c>
      <c r="E3" s="93">
        <v>44508</v>
      </c>
      <c r="F3" s="92" t="s">
        <v>169</v>
      </c>
      <c r="G3" s="93">
        <v>44511</v>
      </c>
      <c r="H3" s="92" t="s">
        <v>343</v>
      </c>
      <c r="I3" s="92">
        <v>42</v>
      </c>
      <c r="J3" s="92">
        <v>34</v>
      </c>
      <c r="K3" s="92">
        <v>36</v>
      </c>
      <c r="L3" s="92">
        <v>7</v>
      </c>
      <c r="M3" s="94">
        <v>12.852</v>
      </c>
      <c r="N3" s="109">
        <v>12.852</v>
      </c>
      <c r="O3" s="58">
        <v>7000</v>
      </c>
      <c r="P3" s="59">
        <f>Table224578910112345678910111213141516[[#This Row],[PEMBULATAN]]*O3</f>
        <v>89964</v>
      </c>
    </row>
    <row r="4" spans="1:16" ht="26.25" customHeight="1" x14ac:dyDescent="0.2">
      <c r="A4" s="105"/>
      <c r="B4" s="105"/>
      <c r="C4" s="92" t="s">
        <v>346</v>
      </c>
      <c r="D4" s="106" t="s">
        <v>59</v>
      </c>
      <c r="E4" s="93">
        <v>44508</v>
      </c>
      <c r="F4" s="92" t="s">
        <v>169</v>
      </c>
      <c r="G4" s="93">
        <v>44511</v>
      </c>
      <c r="H4" s="92" t="s">
        <v>343</v>
      </c>
      <c r="I4" s="92">
        <v>42</v>
      </c>
      <c r="J4" s="92">
        <v>32</v>
      </c>
      <c r="K4" s="92">
        <v>14</v>
      </c>
      <c r="L4" s="92">
        <v>11</v>
      </c>
      <c r="M4" s="94">
        <v>4.7039999999999997</v>
      </c>
      <c r="N4" s="109">
        <v>11</v>
      </c>
      <c r="O4" s="58">
        <v>7000</v>
      </c>
      <c r="P4" s="59">
        <f>Table224578910112345678910111213141516[[#This Row],[PEMBULATAN]]*O4</f>
        <v>77000</v>
      </c>
    </row>
    <row r="5" spans="1:16" ht="22.5" customHeight="1" x14ac:dyDescent="0.2">
      <c r="A5" s="145" t="s">
        <v>30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7"/>
      <c r="M5" s="73">
        <f>SUBTOTAL(109,Table224578910112345678910111213141516[KG VOLUME])</f>
        <v>17.556000000000001</v>
      </c>
      <c r="N5" s="62">
        <f>SUM(N3:N4)</f>
        <v>23.852</v>
      </c>
      <c r="O5" s="148">
        <f>SUM(P3:P4)</f>
        <v>166964</v>
      </c>
      <c r="P5" s="149"/>
    </row>
    <row r="6" spans="1:16" ht="18" customHeight="1" x14ac:dyDescent="0.2">
      <c r="A6" s="80"/>
      <c r="B6" s="50" t="s">
        <v>42</v>
      </c>
      <c r="C6" s="49"/>
      <c r="D6" s="51" t="s">
        <v>43</v>
      </c>
      <c r="E6" s="80"/>
      <c r="F6" s="80"/>
      <c r="G6" s="80"/>
      <c r="H6" s="80"/>
      <c r="I6" s="80"/>
      <c r="J6" s="80"/>
      <c r="K6" s="80"/>
      <c r="L6" s="80"/>
      <c r="M6" s="81"/>
      <c r="N6" s="82" t="s">
        <v>52</v>
      </c>
      <c r="O6" s="83"/>
      <c r="P6" s="83">
        <v>0</v>
      </c>
    </row>
    <row r="7" spans="1:16" ht="18" customHeight="1" thickBot="1" x14ac:dyDescent="0.25">
      <c r="A7" s="80"/>
      <c r="B7" s="50"/>
      <c r="C7" s="49"/>
      <c r="D7" s="51"/>
      <c r="E7" s="80"/>
      <c r="F7" s="80"/>
      <c r="G7" s="80"/>
      <c r="H7" s="80"/>
      <c r="I7" s="80"/>
      <c r="J7" s="80"/>
      <c r="K7" s="80"/>
      <c r="L7" s="80"/>
      <c r="M7" s="81"/>
      <c r="N7" s="84" t="s">
        <v>53</v>
      </c>
      <c r="O7" s="85"/>
      <c r="P7" s="85">
        <f>O5-P6</f>
        <v>166964</v>
      </c>
    </row>
    <row r="8" spans="1:16" ht="18" customHeight="1" x14ac:dyDescent="0.2">
      <c r="A8" s="11"/>
      <c r="H8" s="57"/>
      <c r="N8" s="56" t="s">
        <v>31</v>
      </c>
      <c r="P8" s="63">
        <f>P7*1%</f>
        <v>1669.64</v>
      </c>
    </row>
    <row r="9" spans="1:16" ht="18" customHeight="1" thickBot="1" x14ac:dyDescent="0.25">
      <c r="A9" s="11"/>
      <c r="H9" s="57"/>
      <c r="N9" s="56" t="s">
        <v>54</v>
      </c>
      <c r="P9" s="65">
        <f>P7*2%</f>
        <v>3339.28</v>
      </c>
    </row>
    <row r="10" spans="1:16" ht="18" customHeight="1" x14ac:dyDescent="0.2">
      <c r="A10" s="11"/>
      <c r="H10" s="57"/>
      <c r="N10" s="60" t="s">
        <v>32</v>
      </c>
      <c r="O10" s="61"/>
      <c r="P10" s="64">
        <f>P7+P8-P9</f>
        <v>165294.36000000002</v>
      </c>
    </row>
    <row r="12" spans="1:16" x14ac:dyDescent="0.2">
      <c r="A12" s="11"/>
      <c r="H12" s="57"/>
      <c r="P12" s="65"/>
    </row>
    <row r="13" spans="1:16" x14ac:dyDescent="0.2">
      <c r="A13" s="11"/>
      <c r="H13" s="57"/>
      <c r="O13" s="52"/>
      <c r="P13" s="65"/>
    </row>
    <row r="14" spans="1:16" s="3" customFormat="1" x14ac:dyDescent="0.25">
      <c r="A14" s="11"/>
      <c r="B14" s="2"/>
      <c r="C14" s="2"/>
      <c r="E14" s="12"/>
      <c r="H14" s="57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57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57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57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57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57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7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7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7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7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7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7"/>
      <c r="N25" s="15"/>
      <c r="O25" s="15"/>
      <c r="P25" s="15"/>
    </row>
  </sheetData>
  <mergeCells count="2">
    <mergeCell ref="A5:L5"/>
    <mergeCell ref="O5:P5"/>
  </mergeCells>
  <conditionalFormatting sqref="C3:C4">
    <cfRule type="duplicateValues" dxfId="455" priority="1"/>
    <cfRule type="duplicateValues" dxfId="454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6"/>
  <sheetViews>
    <sheetView zoomScale="110" zoomScaleNormal="110" workbookViewId="0">
      <pane xSplit="3" ySplit="2" topLeftCell="D12" activePane="bottomRight" state="frozen"/>
      <selection pane="topRight" activeCell="B1" sqref="B1"/>
      <selection pane="bottomLeft" activeCell="A3" sqref="A3"/>
      <selection pane="bottomRight" activeCell="K22" sqref="K22"/>
    </sheetView>
  </sheetViews>
  <sheetFormatPr defaultRowHeight="15" x14ac:dyDescent="0.2"/>
  <cols>
    <col min="1" max="1" width="8" style="4" customWidth="1"/>
    <col min="2" max="2" width="19.5703125" style="2" customWidth="1"/>
    <col min="3" max="3" width="15.42578125" style="2" customWidth="1"/>
    <col min="4" max="4" width="9" style="3" customWidth="1"/>
    <col min="5" max="5" width="8.42578125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3">
        <v>402324</v>
      </c>
      <c r="B3" s="103" t="s">
        <v>347</v>
      </c>
      <c r="C3" s="1" t="s">
        <v>348</v>
      </c>
      <c r="D3" s="106" t="s">
        <v>59</v>
      </c>
      <c r="E3" s="93">
        <v>44508</v>
      </c>
      <c r="F3" s="92" t="s">
        <v>169</v>
      </c>
      <c r="G3" s="93">
        <v>44511</v>
      </c>
      <c r="H3" s="92" t="s">
        <v>343</v>
      </c>
      <c r="I3" s="92">
        <v>75</v>
      </c>
      <c r="J3" s="92">
        <v>80</v>
      </c>
      <c r="K3" s="92">
        <v>27</v>
      </c>
      <c r="L3" s="92">
        <v>28</v>
      </c>
      <c r="M3" s="94">
        <v>40.5</v>
      </c>
      <c r="N3" s="109">
        <v>40.5</v>
      </c>
      <c r="O3" s="58">
        <v>7000</v>
      </c>
      <c r="P3" s="59">
        <f>Table22457891011234567891011121314151617[[#This Row],[PEMBULATAN]]*O3</f>
        <v>283500</v>
      </c>
    </row>
    <row r="4" spans="1:16" ht="26.25" customHeight="1" x14ac:dyDescent="0.2">
      <c r="A4" s="104"/>
      <c r="B4" s="104"/>
      <c r="C4" s="117" t="s">
        <v>349</v>
      </c>
      <c r="D4" s="106" t="s">
        <v>59</v>
      </c>
      <c r="E4" s="93">
        <v>44508</v>
      </c>
      <c r="F4" s="92" t="s">
        <v>169</v>
      </c>
      <c r="G4" s="93">
        <v>44511</v>
      </c>
      <c r="H4" s="92" t="s">
        <v>343</v>
      </c>
      <c r="I4" s="92">
        <v>93</v>
      </c>
      <c r="J4" s="92">
        <v>46</v>
      </c>
      <c r="K4" s="92">
        <v>5</v>
      </c>
      <c r="L4" s="92">
        <v>4</v>
      </c>
      <c r="M4" s="94">
        <v>5.3475000000000001</v>
      </c>
      <c r="N4" s="109">
        <v>6</v>
      </c>
      <c r="O4" s="58">
        <v>7000</v>
      </c>
      <c r="P4" s="59">
        <f>Table22457891011234567891011121314151617[[#This Row],[PEMBULATAN]]*O4</f>
        <v>42000</v>
      </c>
    </row>
    <row r="5" spans="1:16" ht="26.25" customHeight="1" x14ac:dyDescent="0.2">
      <c r="A5" s="104"/>
      <c r="B5" s="104"/>
      <c r="C5" s="1" t="s">
        <v>350</v>
      </c>
      <c r="D5" s="106" t="s">
        <v>59</v>
      </c>
      <c r="E5" s="93">
        <v>44508</v>
      </c>
      <c r="F5" s="92" t="s">
        <v>169</v>
      </c>
      <c r="G5" s="93">
        <v>44511</v>
      </c>
      <c r="H5" s="92" t="s">
        <v>343</v>
      </c>
      <c r="I5" s="92">
        <v>63</v>
      </c>
      <c r="J5" s="92">
        <v>45</v>
      </c>
      <c r="K5" s="92">
        <v>34</v>
      </c>
      <c r="L5" s="92">
        <v>19</v>
      </c>
      <c r="M5" s="94">
        <v>24.0975</v>
      </c>
      <c r="N5" s="109">
        <v>24.0975</v>
      </c>
      <c r="O5" s="58">
        <v>7000</v>
      </c>
      <c r="P5" s="59">
        <f>Table22457891011234567891011121314151617[[#This Row],[PEMBULATAN]]*O5</f>
        <v>168682.5</v>
      </c>
    </row>
    <row r="6" spans="1:16" ht="26.25" customHeight="1" x14ac:dyDescent="0.2">
      <c r="A6" s="104"/>
      <c r="B6" s="104"/>
      <c r="C6" s="1" t="s">
        <v>351</v>
      </c>
      <c r="D6" s="106" t="s">
        <v>59</v>
      </c>
      <c r="E6" s="93">
        <v>44508</v>
      </c>
      <c r="F6" s="92" t="s">
        <v>169</v>
      </c>
      <c r="G6" s="93">
        <v>44511</v>
      </c>
      <c r="H6" s="92" t="s">
        <v>343</v>
      </c>
      <c r="I6" s="92">
        <v>65</v>
      </c>
      <c r="J6" s="92">
        <v>54</v>
      </c>
      <c r="K6" s="92">
        <v>20</v>
      </c>
      <c r="L6" s="92">
        <v>10</v>
      </c>
      <c r="M6" s="94">
        <v>17.55</v>
      </c>
      <c r="N6" s="109">
        <v>17.55</v>
      </c>
      <c r="O6" s="58">
        <v>7000</v>
      </c>
      <c r="P6" s="59">
        <f>Table22457891011234567891011121314151617[[#This Row],[PEMBULATAN]]*O6</f>
        <v>122850</v>
      </c>
    </row>
    <row r="7" spans="1:16" ht="26.25" customHeight="1" x14ac:dyDescent="0.2">
      <c r="A7" s="104"/>
      <c r="B7" s="104"/>
      <c r="C7" s="1" t="s">
        <v>352</v>
      </c>
      <c r="D7" s="106" t="s">
        <v>59</v>
      </c>
      <c r="E7" s="93">
        <v>44508</v>
      </c>
      <c r="F7" s="92" t="s">
        <v>169</v>
      </c>
      <c r="G7" s="93">
        <v>44511</v>
      </c>
      <c r="H7" s="92" t="s">
        <v>343</v>
      </c>
      <c r="I7" s="92">
        <v>83</v>
      </c>
      <c r="J7" s="92">
        <v>45</v>
      </c>
      <c r="K7" s="92">
        <v>23</v>
      </c>
      <c r="L7" s="92">
        <v>25</v>
      </c>
      <c r="M7" s="94">
        <v>21.47625</v>
      </c>
      <c r="N7" s="109">
        <v>25</v>
      </c>
      <c r="O7" s="58">
        <v>7000</v>
      </c>
      <c r="P7" s="59">
        <f>Table22457891011234567891011121314151617[[#This Row],[PEMBULATAN]]*O7</f>
        <v>175000</v>
      </c>
    </row>
    <row r="8" spans="1:16" ht="26.25" customHeight="1" x14ac:dyDescent="0.2">
      <c r="A8" s="104"/>
      <c r="B8" s="104"/>
      <c r="C8" s="1" t="s">
        <v>353</v>
      </c>
      <c r="D8" s="106" t="s">
        <v>59</v>
      </c>
      <c r="E8" s="93">
        <v>44508</v>
      </c>
      <c r="F8" s="92" t="s">
        <v>169</v>
      </c>
      <c r="G8" s="93">
        <v>44511</v>
      </c>
      <c r="H8" s="92" t="s">
        <v>343</v>
      </c>
      <c r="I8" s="92">
        <v>31</v>
      </c>
      <c r="J8" s="92">
        <v>45</v>
      </c>
      <c r="K8" s="92">
        <v>35</v>
      </c>
      <c r="L8" s="92">
        <v>10</v>
      </c>
      <c r="M8" s="94">
        <v>12.206250000000001</v>
      </c>
      <c r="N8" s="109">
        <v>12.206250000000001</v>
      </c>
      <c r="O8" s="58">
        <v>7000</v>
      </c>
      <c r="P8" s="59">
        <f>Table22457891011234567891011121314151617[[#This Row],[PEMBULATAN]]*O8</f>
        <v>85443.75</v>
      </c>
    </row>
    <row r="9" spans="1:16" ht="26.25" customHeight="1" x14ac:dyDescent="0.2">
      <c r="A9" s="104"/>
      <c r="B9" s="105"/>
      <c r="C9" s="1" t="s">
        <v>354</v>
      </c>
      <c r="D9" s="106" t="s">
        <v>59</v>
      </c>
      <c r="E9" s="93">
        <v>44508</v>
      </c>
      <c r="F9" s="92" t="s">
        <v>169</v>
      </c>
      <c r="G9" s="93">
        <v>44511</v>
      </c>
      <c r="H9" s="92" t="s">
        <v>343</v>
      </c>
      <c r="I9" s="92">
        <v>80</v>
      </c>
      <c r="J9" s="92">
        <v>46</v>
      </c>
      <c r="K9" s="92">
        <v>29</v>
      </c>
      <c r="L9" s="92">
        <v>14</v>
      </c>
      <c r="M9" s="94">
        <v>26.68</v>
      </c>
      <c r="N9" s="109">
        <v>26.68</v>
      </c>
      <c r="O9" s="58">
        <v>7000</v>
      </c>
      <c r="P9" s="59">
        <f>Table22457891011234567891011121314151617[[#This Row],[PEMBULATAN]]*O9</f>
        <v>186760</v>
      </c>
    </row>
    <row r="10" spans="1:16" ht="26.25" customHeight="1" x14ac:dyDescent="0.2">
      <c r="A10" s="104"/>
      <c r="B10" s="104" t="s">
        <v>355</v>
      </c>
      <c r="C10" s="1" t="s">
        <v>356</v>
      </c>
      <c r="D10" s="106" t="s">
        <v>59</v>
      </c>
      <c r="E10" s="93">
        <v>44508</v>
      </c>
      <c r="F10" s="92" t="s">
        <v>169</v>
      </c>
      <c r="G10" s="93">
        <v>44511</v>
      </c>
      <c r="H10" s="92" t="s">
        <v>343</v>
      </c>
      <c r="I10" s="92">
        <v>32</v>
      </c>
      <c r="J10" s="92">
        <v>27</v>
      </c>
      <c r="K10" s="92">
        <v>13</v>
      </c>
      <c r="L10" s="92">
        <v>2</v>
      </c>
      <c r="M10" s="94">
        <v>2.8079999999999998</v>
      </c>
      <c r="N10" s="109">
        <v>2.8079999999999998</v>
      </c>
      <c r="O10" s="58">
        <v>7000</v>
      </c>
      <c r="P10" s="59">
        <f>Table22457891011234567891011121314151617[[#This Row],[PEMBULATAN]]*O10</f>
        <v>19656</v>
      </c>
    </row>
    <row r="11" spans="1:16" ht="26.25" customHeight="1" x14ac:dyDescent="0.2">
      <c r="A11" s="104"/>
      <c r="B11" s="104"/>
      <c r="C11" s="1" t="s">
        <v>357</v>
      </c>
      <c r="D11" s="106" t="s">
        <v>59</v>
      </c>
      <c r="E11" s="93">
        <v>44508</v>
      </c>
      <c r="F11" s="92" t="s">
        <v>169</v>
      </c>
      <c r="G11" s="93">
        <v>44511</v>
      </c>
      <c r="H11" s="92" t="s">
        <v>343</v>
      </c>
      <c r="I11" s="92">
        <v>40</v>
      </c>
      <c r="J11" s="92">
        <v>40</v>
      </c>
      <c r="K11" s="92">
        <v>25</v>
      </c>
      <c r="L11" s="92">
        <v>16</v>
      </c>
      <c r="M11" s="94">
        <v>10</v>
      </c>
      <c r="N11" s="109">
        <v>16</v>
      </c>
      <c r="O11" s="58">
        <v>7000</v>
      </c>
      <c r="P11" s="59">
        <f>Table22457891011234567891011121314151617[[#This Row],[PEMBULATAN]]*O11</f>
        <v>112000</v>
      </c>
    </row>
    <row r="12" spans="1:16" ht="26.25" customHeight="1" x14ac:dyDescent="0.2">
      <c r="A12" s="104"/>
      <c r="B12" s="104"/>
      <c r="C12" s="1" t="s">
        <v>358</v>
      </c>
      <c r="D12" s="106" t="s">
        <v>59</v>
      </c>
      <c r="E12" s="93">
        <v>44508</v>
      </c>
      <c r="F12" s="92" t="s">
        <v>169</v>
      </c>
      <c r="G12" s="93">
        <v>44511</v>
      </c>
      <c r="H12" s="92" t="s">
        <v>343</v>
      </c>
      <c r="I12" s="92">
        <v>50</v>
      </c>
      <c r="J12" s="92">
        <v>50</v>
      </c>
      <c r="K12" s="92">
        <v>25</v>
      </c>
      <c r="L12" s="92">
        <v>16</v>
      </c>
      <c r="M12" s="94">
        <v>15.625</v>
      </c>
      <c r="N12" s="109">
        <v>16</v>
      </c>
      <c r="O12" s="58">
        <v>7000</v>
      </c>
      <c r="P12" s="59">
        <f>Table22457891011234567891011121314151617[[#This Row],[PEMBULATAN]]*O12</f>
        <v>112000</v>
      </c>
    </row>
    <row r="13" spans="1:16" ht="26.25" customHeight="1" x14ac:dyDescent="0.2">
      <c r="A13" s="104"/>
      <c r="B13" s="105"/>
      <c r="C13" s="1" t="s">
        <v>359</v>
      </c>
      <c r="D13" s="106" t="s">
        <v>59</v>
      </c>
      <c r="E13" s="93">
        <v>44508</v>
      </c>
      <c r="F13" s="92" t="s">
        <v>169</v>
      </c>
      <c r="G13" s="93">
        <v>44511</v>
      </c>
      <c r="H13" s="92" t="s">
        <v>343</v>
      </c>
      <c r="I13" s="92">
        <v>48</v>
      </c>
      <c r="J13" s="92">
        <v>44</v>
      </c>
      <c r="K13" s="92">
        <v>34</v>
      </c>
      <c r="L13" s="92">
        <v>11</v>
      </c>
      <c r="M13" s="94">
        <v>17.952000000000002</v>
      </c>
      <c r="N13" s="109">
        <v>17.952000000000002</v>
      </c>
      <c r="O13" s="58">
        <v>7000</v>
      </c>
      <c r="P13" s="59">
        <f>Table22457891011234567891011121314151617[[#This Row],[PEMBULATAN]]*O13</f>
        <v>125664.00000000001</v>
      </c>
    </row>
    <row r="14" spans="1:16" ht="26.25" customHeight="1" x14ac:dyDescent="0.2">
      <c r="A14" s="104"/>
      <c r="B14" s="104" t="s">
        <v>360</v>
      </c>
      <c r="C14" s="1" t="s">
        <v>361</v>
      </c>
      <c r="D14" s="106" t="s">
        <v>59</v>
      </c>
      <c r="E14" s="93">
        <v>44508</v>
      </c>
      <c r="F14" s="92" t="s">
        <v>169</v>
      </c>
      <c r="G14" s="93">
        <v>44511</v>
      </c>
      <c r="H14" s="92" t="s">
        <v>343</v>
      </c>
      <c r="I14" s="92">
        <v>44</v>
      </c>
      <c r="J14" s="92">
        <v>33</v>
      </c>
      <c r="K14" s="92">
        <v>30</v>
      </c>
      <c r="L14" s="92">
        <v>9</v>
      </c>
      <c r="M14" s="94">
        <v>10.89</v>
      </c>
      <c r="N14" s="109">
        <v>10.89</v>
      </c>
      <c r="O14" s="58">
        <v>7000</v>
      </c>
      <c r="P14" s="59">
        <f>Table22457891011234567891011121314151617[[#This Row],[PEMBULATAN]]*O14</f>
        <v>76230</v>
      </c>
    </row>
    <row r="15" spans="1:16" ht="26.25" customHeight="1" x14ac:dyDescent="0.2">
      <c r="A15" s="105"/>
      <c r="B15" s="105"/>
      <c r="C15" s="1" t="s">
        <v>362</v>
      </c>
      <c r="D15" s="106" t="s">
        <v>59</v>
      </c>
      <c r="E15" s="93">
        <v>44508</v>
      </c>
      <c r="F15" s="92" t="s">
        <v>169</v>
      </c>
      <c r="G15" s="93">
        <v>44511</v>
      </c>
      <c r="H15" s="92" t="s">
        <v>343</v>
      </c>
      <c r="I15" s="92">
        <v>44</v>
      </c>
      <c r="J15" s="92">
        <v>33</v>
      </c>
      <c r="K15" s="92">
        <v>30</v>
      </c>
      <c r="L15" s="92">
        <v>9</v>
      </c>
      <c r="M15" s="94">
        <v>10.89</v>
      </c>
      <c r="N15" s="109">
        <v>10.89</v>
      </c>
      <c r="O15" s="58">
        <v>7000</v>
      </c>
      <c r="P15" s="59">
        <f>Table22457891011234567891011121314151617[[#This Row],[PEMBULATAN]]*O15</f>
        <v>76230</v>
      </c>
    </row>
    <row r="16" spans="1:16" ht="22.5" customHeight="1" x14ac:dyDescent="0.2">
      <c r="A16" s="145" t="s">
        <v>30</v>
      </c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7"/>
      <c r="M16" s="73">
        <f>SUBTOTAL(109,Table22457891011234567891011121314151617[KG VOLUME])</f>
        <v>216.02249999999998</v>
      </c>
      <c r="N16" s="62">
        <f>SUM(N3:N15)</f>
        <v>226.57374999999996</v>
      </c>
      <c r="O16" s="148">
        <f>SUM(P3:P15)</f>
        <v>1586016.25</v>
      </c>
      <c r="P16" s="149"/>
    </row>
    <row r="17" spans="1:16" ht="18" customHeight="1" x14ac:dyDescent="0.2">
      <c r="A17" s="80"/>
      <c r="B17" s="50" t="s">
        <v>42</v>
      </c>
      <c r="C17" s="49"/>
      <c r="D17" s="51" t="s">
        <v>43</v>
      </c>
      <c r="E17" s="80"/>
      <c r="F17" s="80"/>
      <c r="G17" s="80"/>
      <c r="H17" s="80"/>
      <c r="I17" s="80"/>
      <c r="J17" s="80"/>
      <c r="K17" s="80"/>
      <c r="L17" s="80"/>
      <c r="M17" s="81"/>
      <c r="N17" s="82" t="s">
        <v>52</v>
      </c>
      <c r="O17" s="83"/>
      <c r="P17" s="83">
        <v>0</v>
      </c>
    </row>
    <row r="18" spans="1:16" ht="18" customHeight="1" thickBot="1" x14ac:dyDescent="0.25">
      <c r="A18" s="80"/>
      <c r="B18" s="50"/>
      <c r="C18" s="49"/>
      <c r="D18" s="51"/>
      <c r="E18" s="80"/>
      <c r="F18" s="80"/>
      <c r="G18" s="80"/>
      <c r="H18" s="80"/>
      <c r="I18" s="80"/>
      <c r="J18" s="80"/>
      <c r="K18" s="80"/>
      <c r="L18" s="80"/>
      <c r="M18" s="81"/>
      <c r="N18" s="84" t="s">
        <v>53</v>
      </c>
      <c r="O18" s="85"/>
      <c r="P18" s="85">
        <f>O16-P17</f>
        <v>1586016.25</v>
      </c>
    </row>
    <row r="19" spans="1:16" ht="18" customHeight="1" x14ac:dyDescent="0.2">
      <c r="A19" s="11"/>
      <c r="H19" s="57"/>
      <c r="N19" s="56" t="s">
        <v>31</v>
      </c>
      <c r="P19" s="63">
        <f>P18*1%</f>
        <v>15860.1625</v>
      </c>
    </row>
    <row r="20" spans="1:16" ht="18" customHeight="1" thickBot="1" x14ac:dyDescent="0.25">
      <c r="A20" s="11"/>
      <c r="H20" s="57"/>
      <c r="N20" s="56" t="s">
        <v>54</v>
      </c>
      <c r="P20" s="65">
        <f>P18*2%</f>
        <v>31720.325000000001</v>
      </c>
    </row>
    <row r="21" spans="1:16" ht="18" customHeight="1" x14ac:dyDescent="0.2">
      <c r="A21" s="11"/>
      <c r="H21" s="57"/>
      <c r="N21" s="60" t="s">
        <v>32</v>
      </c>
      <c r="O21" s="61"/>
      <c r="P21" s="64">
        <f>P18+P19-P20</f>
        <v>1570156.0875000001</v>
      </c>
    </row>
    <row r="23" spans="1:16" x14ac:dyDescent="0.2">
      <c r="A23" s="11"/>
      <c r="H23" s="57"/>
      <c r="P23" s="65"/>
    </row>
    <row r="24" spans="1:16" x14ac:dyDescent="0.2">
      <c r="A24" s="11"/>
      <c r="H24" s="57"/>
      <c r="O24" s="52"/>
      <c r="P24" s="65"/>
    </row>
    <row r="25" spans="1:16" s="3" customFormat="1" x14ac:dyDescent="0.25">
      <c r="A25" s="11"/>
      <c r="B25" s="2"/>
      <c r="C25" s="2"/>
      <c r="E25" s="12"/>
      <c r="H25" s="57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57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57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57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57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57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57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57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57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57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57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57"/>
      <c r="N36" s="15"/>
      <c r="O36" s="15"/>
      <c r="P36" s="15"/>
    </row>
  </sheetData>
  <mergeCells count="2">
    <mergeCell ref="A16:L16"/>
    <mergeCell ref="O16:P16"/>
  </mergeCells>
  <conditionalFormatting sqref="C3:C9">
    <cfRule type="duplicateValues" dxfId="438" priority="3"/>
  </conditionalFormatting>
  <conditionalFormatting sqref="C10:C13">
    <cfRule type="duplicateValues" dxfId="437" priority="2"/>
  </conditionalFormatting>
  <conditionalFormatting sqref="C14:C15">
    <cfRule type="duplicateValues" dxfId="436" priority="1"/>
  </conditionalFormatting>
  <hyperlinks>
    <hyperlink ref="C4" r:id="rId1" display="https://www.sicepat.com/"/>
  </hyperlinks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L13" sqref="L1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5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3">
        <v>404018</v>
      </c>
      <c r="B3" s="103" t="s">
        <v>363</v>
      </c>
      <c r="C3" s="110" t="s">
        <v>364</v>
      </c>
      <c r="D3" s="106" t="s">
        <v>59</v>
      </c>
      <c r="E3" s="93">
        <v>44509</v>
      </c>
      <c r="F3" s="106" t="s">
        <v>60</v>
      </c>
      <c r="G3" s="93">
        <v>44512</v>
      </c>
      <c r="H3" s="106" t="s">
        <v>371</v>
      </c>
      <c r="I3" s="92">
        <v>51</v>
      </c>
      <c r="J3" s="92">
        <v>31</v>
      </c>
      <c r="K3" s="92">
        <v>38</v>
      </c>
      <c r="L3" s="92">
        <v>21</v>
      </c>
      <c r="M3" s="94">
        <v>15.019500000000001</v>
      </c>
      <c r="N3" s="109">
        <v>21</v>
      </c>
      <c r="O3" s="58">
        <v>7000</v>
      </c>
      <c r="P3" s="59">
        <f>Table2245789101123456789101112131415161718[[#This Row],[PEMBULATAN]]*O3</f>
        <v>147000</v>
      </c>
    </row>
    <row r="4" spans="1:16" ht="26.25" customHeight="1" x14ac:dyDescent="0.2">
      <c r="A4" s="104"/>
      <c r="B4" s="104"/>
      <c r="C4" s="110" t="s">
        <v>365</v>
      </c>
      <c r="D4" s="106" t="s">
        <v>59</v>
      </c>
      <c r="E4" s="93">
        <v>44509</v>
      </c>
      <c r="F4" s="106" t="s">
        <v>60</v>
      </c>
      <c r="G4" s="93">
        <v>44512</v>
      </c>
      <c r="H4" s="106" t="s">
        <v>371</v>
      </c>
      <c r="I4" s="92">
        <v>51</v>
      </c>
      <c r="J4" s="92">
        <v>31</v>
      </c>
      <c r="K4" s="92">
        <v>38</v>
      </c>
      <c r="L4" s="92">
        <v>21</v>
      </c>
      <c r="M4" s="94">
        <v>15.019500000000001</v>
      </c>
      <c r="N4" s="109">
        <v>21</v>
      </c>
      <c r="O4" s="58">
        <v>7000</v>
      </c>
      <c r="P4" s="59">
        <f>Table2245789101123456789101112131415161718[[#This Row],[PEMBULATAN]]*O4</f>
        <v>147000</v>
      </c>
    </row>
    <row r="5" spans="1:16" ht="26.25" customHeight="1" x14ac:dyDescent="0.2">
      <c r="A5" s="104"/>
      <c r="B5" s="105"/>
      <c r="C5" s="110" t="s">
        <v>366</v>
      </c>
      <c r="D5" s="106" t="s">
        <v>59</v>
      </c>
      <c r="E5" s="93">
        <v>44509</v>
      </c>
      <c r="F5" s="106" t="s">
        <v>60</v>
      </c>
      <c r="G5" s="93">
        <v>44512</v>
      </c>
      <c r="H5" s="106" t="s">
        <v>371</v>
      </c>
      <c r="I5" s="92">
        <v>80</v>
      </c>
      <c r="J5" s="92">
        <v>64</v>
      </c>
      <c r="K5" s="92">
        <v>38</v>
      </c>
      <c r="L5" s="92">
        <v>33</v>
      </c>
      <c r="M5" s="94">
        <v>48.64</v>
      </c>
      <c r="N5" s="109">
        <v>48.64</v>
      </c>
      <c r="O5" s="58">
        <v>7000</v>
      </c>
      <c r="P5" s="59">
        <f>Table2245789101123456789101112131415161718[[#This Row],[PEMBULATAN]]*O5</f>
        <v>340480</v>
      </c>
    </row>
    <row r="6" spans="1:16" ht="26.25" customHeight="1" x14ac:dyDescent="0.2">
      <c r="A6" s="104"/>
      <c r="B6" s="104" t="s">
        <v>367</v>
      </c>
      <c r="C6" s="110" t="s">
        <v>368</v>
      </c>
      <c r="D6" s="106" t="s">
        <v>59</v>
      </c>
      <c r="E6" s="93">
        <v>44509</v>
      </c>
      <c r="F6" s="106" t="s">
        <v>60</v>
      </c>
      <c r="G6" s="93">
        <v>44512</v>
      </c>
      <c r="H6" s="106" t="s">
        <v>371</v>
      </c>
      <c r="I6" s="92">
        <v>67</v>
      </c>
      <c r="J6" s="92">
        <v>54</v>
      </c>
      <c r="K6" s="92">
        <v>20</v>
      </c>
      <c r="L6" s="92">
        <v>23</v>
      </c>
      <c r="M6" s="94">
        <v>18.09</v>
      </c>
      <c r="N6" s="109">
        <v>23</v>
      </c>
      <c r="O6" s="58">
        <v>7000</v>
      </c>
      <c r="P6" s="59">
        <f>Table2245789101123456789101112131415161718[[#This Row],[PEMBULATAN]]*O6</f>
        <v>161000</v>
      </c>
    </row>
    <row r="7" spans="1:16" ht="26.25" customHeight="1" x14ac:dyDescent="0.2">
      <c r="A7" s="104"/>
      <c r="B7" s="104"/>
      <c r="C7" s="110" t="s">
        <v>369</v>
      </c>
      <c r="D7" s="106" t="s">
        <v>59</v>
      </c>
      <c r="E7" s="93">
        <v>44509</v>
      </c>
      <c r="F7" s="106" t="s">
        <v>60</v>
      </c>
      <c r="G7" s="93">
        <v>44512</v>
      </c>
      <c r="H7" s="106" t="s">
        <v>371</v>
      </c>
      <c r="I7" s="92">
        <v>174</v>
      </c>
      <c r="J7" s="92">
        <v>48</v>
      </c>
      <c r="K7" s="92">
        <v>41</v>
      </c>
      <c r="L7" s="92">
        <v>20</v>
      </c>
      <c r="M7" s="94">
        <v>85.608000000000004</v>
      </c>
      <c r="N7" s="109">
        <v>85.608000000000004</v>
      </c>
      <c r="O7" s="58">
        <v>7000</v>
      </c>
      <c r="P7" s="59">
        <f>Table2245789101123456789101112131415161718[[#This Row],[PEMBULATAN]]*O7</f>
        <v>599256</v>
      </c>
    </row>
    <row r="8" spans="1:16" ht="26.25" customHeight="1" x14ac:dyDescent="0.2">
      <c r="A8" s="105"/>
      <c r="B8" s="105"/>
      <c r="C8" s="3" t="s">
        <v>370</v>
      </c>
      <c r="D8" s="106" t="s">
        <v>59</v>
      </c>
      <c r="E8" s="93">
        <v>44509</v>
      </c>
      <c r="F8" s="106" t="s">
        <v>60</v>
      </c>
      <c r="G8" s="93">
        <v>44512</v>
      </c>
      <c r="H8" s="106" t="s">
        <v>371</v>
      </c>
      <c r="I8" s="92">
        <v>44</v>
      </c>
      <c r="J8" s="92">
        <v>38</v>
      </c>
      <c r="K8" s="92">
        <v>32</v>
      </c>
      <c r="L8" s="92">
        <v>13</v>
      </c>
      <c r="M8" s="94">
        <v>13.375999999999999</v>
      </c>
      <c r="N8" s="109">
        <v>14</v>
      </c>
      <c r="O8" s="58">
        <v>7000</v>
      </c>
      <c r="P8" s="59">
        <f>Table2245789101123456789101112131415161718[[#This Row],[PEMBULATAN]]*O8</f>
        <v>98000</v>
      </c>
    </row>
    <row r="9" spans="1:16" ht="22.5" customHeight="1" x14ac:dyDescent="0.2">
      <c r="A9" s="145" t="s">
        <v>30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7"/>
      <c r="M9" s="73">
        <f>SUBTOTAL(109,Table2245789101123456789101112131415161718[KG VOLUME])</f>
        <v>195.75300000000001</v>
      </c>
      <c r="N9" s="62">
        <f>SUM(N3:N8)</f>
        <v>213.24799999999999</v>
      </c>
      <c r="O9" s="148">
        <f>SUM(P3:P8)</f>
        <v>1492736</v>
      </c>
      <c r="P9" s="149"/>
    </row>
    <row r="10" spans="1:16" ht="18" customHeight="1" x14ac:dyDescent="0.2">
      <c r="A10" s="80"/>
      <c r="B10" s="50" t="s">
        <v>42</v>
      </c>
      <c r="C10" s="49"/>
      <c r="D10" s="51" t="s">
        <v>43</v>
      </c>
      <c r="E10" s="80"/>
      <c r="F10" s="80"/>
      <c r="G10" s="80"/>
      <c r="H10" s="80"/>
      <c r="I10" s="80"/>
      <c r="J10" s="80"/>
      <c r="K10" s="80"/>
      <c r="L10" s="80"/>
      <c r="M10" s="81"/>
      <c r="N10" s="82" t="s">
        <v>52</v>
      </c>
      <c r="O10" s="83"/>
      <c r="P10" s="83">
        <v>0</v>
      </c>
    </row>
    <row r="11" spans="1:16" ht="18" customHeight="1" thickBot="1" x14ac:dyDescent="0.25">
      <c r="A11" s="80"/>
      <c r="B11" s="50"/>
      <c r="C11" s="49"/>
      <c r="D11" s="51"/>
      <c r="E11" s="80"/>
      <c r="F11" s="80"/>
      <c r="G11" s="80"/>
      <c r="H11" s="80"/>
      <c r="I11" s="80"/>
      <c r="J11" s="80"/>
      <c r="K11" s="80"/>
      <c r="L11" s="80"/>
      <c r="M11" s="81"/>
      <c r="N11" s="84" t="s">
        <v>53</v>
      </c>
      <c r="O11" s="85"/>
      <c r="P11" s="85">
        <f>O9-P10</f>
        <v>1492736</v>
      </c>
    </row>
    <row r="12" spans="1:16" ht="18" customHeight="1" x14ac:dyDescent="0.2">
      <c r="A12" s="11"/>
      <c r="H12" s="57"/>
      <c r="N12" s="56" t="s">
        <v>31</v>
      </c>
      <c r="P12" s="63">
        <f>P11*1%</f>
        <v>14927.36</v>
      </c>
    </row>
    <row r="13" spans="1:16" ht="18" customHeight="1" thickBot="1" x14ac:dyDescent="0.25">
      <c r="A13" s="11"/>
      <c r="H13" s="57"/>
      <c r="N13" s="56" t="s">
        <v>54</v>
      </c>
      <c r="P13" s="65">
        <f>P11*2%</f>
        <v>29854.720000000001</v>
      </c>
    </row>
    <row r="14" spans="1:16" ht="18" customHeight="1" x14ac:dyDescent="0.2">
      <c r="A14" s="11"/>
      <c r="H14" s="57"/>
      <c r="N14" s="60" t="s">
        <v>32</v>
      </c>
      <c r="O14" s="61"/>
      <c r="P14" s="64">
        <f>P11+P12-P13</f>
        <v>1477808.6400000001</v>
      </c>
    </row>
    <row r="16" spans="1:16" x14ac:dyDescent="0.2">
      <c r="A16" s="11"/>
      <c r="H16" s="57"/>
      <c r="P16" s="65"/>
    </row>
    <row r="17" spans="1:16" x14ac:dyDescent="0.2">
      <c r="A17" s="11"/>
      <c r="H17" s="57"/>
      <c r="O17" s="52"/>
      <c r="P17" s="65"/>
    </row>
    <row r="18" spans="1:16" s="3" customFormat="1" x14ac:dyDescent="0.25">
      <c r="A18" s="11"/>
      <c r="B18" s="2"/>
      <c r="C18" s="2"/>
      <c r="E18" s="12"/>
      <c r="H18" s="57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57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7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7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7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7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7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7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57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57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57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57"/>
      <c r="N29" s="15"/>
      <c r="O29" s="15"/>
      <c r="P29" s="15"/>
    </row>
  </sheetData>
  <mergeCells count="2">
    <mergeCell ref="A9:L9"/>
    <mergeCell ref="O9:P9"/>
  </mergeCells>
  <conditionalFormatting sqref="B3:B5">
    <cfRule type="duplicateValues" dxfId="420" priority="3"/>
  </conditionalFormatting>
  <conditionalFormatting sqref="C3:C5">
    <cfRule type="duplicateValues" dxfId="419" priority="2"/>
  </conditionalFormatting>
  <conditionalFormatting sqref="C6:C8">
    <cfRule type="duplicateValues" dxfId="418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0"/>
  <sheetViews>
    <sheetView zoomScale="110" zoomScaleNormal="110" workbookViewId="0">
      <pane xSplit="3" ySplit="2" topLeftCell="D26" activePane="bottomRight" state="frozen"/>
      <selection pane="topRight" activeCell="B1" sqref="B1"/>
      <selection pane="bottomLeft" activeCell="A3" sqref="A3"/>
      <selection pane="bottomRight" activeCell="J35" sqref="J3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8554687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6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3">
        <v>402346</v>
      </c>
      <c r="B3" s="103" t="s">
        <v>372</v>
      </c>
      <c r="C3" s="113" t="s">
        <v>373</v>
      </c>
      <c r="D3" s="106" t="s">
        <v>59</v>
      </c>
      <c r="E3" s="93">
        <v>44509</v>
      </c>
      <c r="F3" s="106" t="s">
        <v>60</v>
      </c>
      <c r="G3" s="93">
        <v>44512</v>
      </c>
      <c r="H3" s="92" t="s">
        <v>371</v>
      </c>
      <c r="I3" s="92">
        <v>80</v>
      </c>
      <c r="J3" s="92">
        <v>46</v>
      </c>
      <c r="K3" s="92">
        <v>26</v>
      </c>
      <c r="L3" s="92">
        <v>20</v>
      </c>
      <c r="M3" s="94">
        <v>23.92</v>
      </c>
      <c r="N3" s="109">
        <v>23.92</v>
      </c>
      <c r="O3" s="58">
        <v>7000</v>
      </c>
      <c r="P3" s="59">
        <f>Table224578910112345678910111213141516171819[[#This Row],[PEMBULATAN]]*O3</f>
        <v>167440</v>
      </c>
    </row>
    <row r="4" spans="1:16" ht="26.25" customHeight="1" x14ac:dyDescent="0.2">
      <c r="A4" s="104"/>
      <c r="B4" s="104"/>
      <c r="C4" s="1" t="s">
        <v>374</v>
      </c>
      <c r="D4" s="106" t="s">
        <v>59</v>
      </c>
      <c r="E4" s="93">
        <v>44509</v>
      </c>
      <c r="F4" s="106" t="s">
        <v>60</v>
      </c>
      <c r="G4" s="93">
        <v>44512</v>
      </c>
      <c r="H4" s="92" t="s">
        <v>371</v>
      </c>
      <c r="I4" s="92">
        <v>56</v>
      </c>
      <c r="J4" s="92">
        <v>56</v>
      </c>
      <c r="K4" s="92">
        <v>16</v>
      </c>
      <c r="L4" s="92">
        <v>8</v>
      </c>
      <c r="M4" s="94">
        <v>12.544</v>
      </c>
      <c r="N4" s="109">
        <v>12.544</v>
      </c>
      <c r="O4" s="58">
        <v>7000</v>
      </c>
      <c r="P4" s="59">
        <f>Table224578910112345678910111213141516171819[[#This Row],[PEMBULATAN]]*O4</f>
        <v>87808</v>
      </c>
    </row>
    <row r="5" spans="1:16" ht="26.25" customHeight="1" x14ac:dyDescent="0.2">
      <c r="A5" s="104"/>
      <c r="B5" s="104"/>
      <c r="C5" s="1" t="s">
        <v>375</v>
      </c>
      <c r="D5" s="106" t="s">
        <v>59</v>
      </c>
      <c r="E5" s="93">
        <v>44509</v>
      </c>
      <c r="F5" s="106" t="s">
        <v>60</v>
      </c>
      <c r="G5" s="93">
        <v>44512</v>
      </c>
      <c r="H5" s="92" t="s">
        <v>371</v>
      </c>
      <c r="I5" s="92">
        <v>100</v>
      </c>
      <c r="J5" s="92">
        <v>10</v>
      </c>
      <c r="K5" s="92">
        <v>9</v>
      </c>
      <c r="L5" s="92">
        <v>5</v>
      </c>
      <c r="M5" s="94">
        <v>2.25</v>
      </c>
      <c r="N5" s="109">
        <v>5</v>
      </c>
      <c r="O5" s="58">
        <v>7000</v>
      </c>
      <c r="P5" s="59">
        <f>Table224578910112345678910111213141516171819[[#This Row],[PEMBULATAN]]*O5</f>
        <v>35000</v>
      </c>
    </row>
    <row r="6" spans="1:16" ht="26.25" customHeight="1" x14ac:dyDescent="0.2">
      <c r="A6" s="104"/>
      <c r="B6" s="104"/>
      <c r="C6" s="1" t="s">
        <v>376</v>
      </c>
      <c r="D6" s="106" t="s">
        <v>59</v>
      </c>
      <c r="E6" s="93">
        <v>44509</v>
      </c>
      <c r="F6" s="106" t="s">
        <v>60</v>
      </c>
      <c r="G6" s="93">
        <v>44512</v>
      </c>
      <c r="H6" s="92" t="s">
        <v>371</v>
      </c>
      <c r="I6" s="92">
        <v>52</v>
      </c>
      <c r="J6" s="92">
        <v>41</v>
      </c>
      <c r="K6" s="92">
        <v>38</v>
      </c>
      <c r="L6" s="92">
        <v>12</v>
      </c>
      <c r="M6" s="94">
        <v>20.254000000000001</v>
      </c>
      <c r="N6" s="109">
        <v>20.254000000000001</v>
      </c>
      <c r="O6" s="58">
        <v>7000</v>
      </c>
      <c r="P6" s="59">
        <f>Table224578910112345678910111213141516171819[[#This Row],[PEMBULATAN]]*O6</f>
        <v>141778</v>
      </c>
    </row>
    <row r="7" spans="1:16" ht="26.25" customHeight="1" x14ac:dyDescent="0.2">
      <c r="A7" s="104"/>
      <c r="B7" s="104"/>
      <c r="C7" s="1" t="s">
        <v>377</v>
      </c>
      <c r="D7" s="106" t="s">
        <v>59</v>
      </c>
      <c r="E7" s="93">
        <v>44509</v>
      </c>
      <c r="F7" s="106" t="s">
        <v>60</v>
      </c>
      <c r="G7" s="93">
        <v>44512</v>
      </c>
      <c r="H7" s="92" t="s">
        <v>371</v>
      </c>
      <c r="I7" s="92">
        <v>45</v>
      </c>
      <c r="J7" s="92">
        <v>31</v>
      </c>
      <c r="K7" s="92">
        <v>43</v>
      </c>
      <c r="L7" s="92">
        <v>12</v>
      </c>
      <c r="M7" s="94">
        <v>14.99625</v>
      </c>
      <c r="N7" s="109">
        <v>14.99625</v>
      </c>
      <c r="O7" s="58">
        <v>7000</v>
      </c>
      <c r="P7" s="59">
        <f>Table224578910112345678910111213141516171819[[#This Row],[PEMBULATAN]]*O7</f>
        <v>104973.75</v>
      </c>
    </row>
    <row r="8" spans="1:16" ht="26.25" customHeight="1" x14ac:dyDescent="0.2">
      <c r="A8" s="104"/>
      <c r="B8" s="104"/>
      <c r="C8" s="1" t="s">
        <v>378</v>
      </c>
      <c r="D8" s="106" t="s">
        <v>59</v>
      </c>
      <c r="E8" s="93">
        <v>44509</v>
      </c>
      <c r="F8" s="106" t="s">
        <v>60</v>
      </c>
      <c r="G8" s="93">
        <v>44512</v>
      </c>
      <c r="H8" s="92" t="s">
        <v>371</v>
      </c>
      <c r="I8" s="92">
        <v>44</v>
      </c>
      <c r="J8" s="92">
        <v>27</v>
      </c>
      <c r="K8" s="92">
        <v>17</v>
      </c>
      <c r="L8" s="92">
        <v>8</v>
      </c>
      <c r="M8" s="94">
        <v>5.0490000000000004</v>
      </c>
      <c r="N8" s="109">
        <v>8</v>
      </c>
      <c r="O8" s="58">
        <v>7000</v>
      </c>
      <c r="P8" s="59">
        <f>Table224578910112345678910111213141516171819[[#This Row],[PEMBULATAN]]*O8</f>
        <v>56000</v>
      </c>
    </row>
    <row r="9" spans="1:16" ht="26.25" customHeight="1" x14ac:dyDescent="0.2">
      <c r="A9" s="104"/>
      <c r="B9" s="104"/>
      <c r="C9" s="1" t="s">
        <v>379</v>
      </c>
      <c r="D9" s="106" t="s">
        <v>59</v>
      </c>
      <c r="E9" s="93">
        <v>44509</v>
      </c>
      <c r="F9" s="106" t="s">
        <v>60</v>
      </c>
      <c r="G9" s="93">
        <v>44512</v>
      </c>
      <c r="H9" s="92" t="s">
        <v>371</v>
      </c>
      <c r="I9" s="92">
        <v>71</v>
      </c>
      <c r="J9" s="92">
        <v>25</v>
      </c>
      <c r="K9" s="92">
        <v>20</v>
      </c>
      <c r="L9" s="92">
        <v>5</v>
      </c>
      <c r="M9" s="94">
        <v>8.875</v>
      </c>
      <c r="N9" s="109">
        <v>8.875</v>
      </c>
      <c r="O9" s="58">
        <v>7000</v>
      </c>
      <c r="P9" s="59">
        <f>Table224578910112345678910111213141516171819[[#This Row],[PEMBULATAN]]*O9</f>
        <v>62125</v>
      </c>
    </row>
    <row r="10" spans="1:16" ht="26.25" customHeight="1" x14ac:dyDescent="0.2">
      <c r="A10" s="104"/>
      <c r="B10" s="104"/>
      <c r="C10" s="1" t="s">
        <v>380</v>
      </c>
      <c r="D10" s="106" t="s">
        <v>59</v>
      </c>
      <c r="E10" s="93">
        <v>44509</v>
      </c>
      <c r="F10" s="106" t="s">
        <v>60</v>
      </c>
      <c r="G10" s="93">
        <v>44512</v>
      </c>
      <c r="H10" s="92" t="s">
        <v>371</v>
      </c>
      <c r="I10" s="92">
        <v>32</v>
      </c>
      <c r="J10" s="92">
        <v>32</v>
      </c>
      <c r="K10" s="92">
        <v>49</v>
      </c>
      <c r="L10" s="92">
        <v>29</v>
      </c>
      <c r="M10" s="94">
        <v>12.544</v>
      </c>
      <c r="N10" s="109">
        <v>29</v>
      </c>
      <c r="O10" s="58">
        <v>7000</v>
      </c>
      <c r="P10" s="59">
        <f>Table224578910112345678910111213141516171819[[#This Row],[PEMBULATAN]]*O10</f>
        <v>203000</v>
      </c>
    </row>
    <row r="11" spans="1:16" ht="26.25" customHeight="1" x14ac:dyDescent="0.2">
      <c r="A11" s="104"/>
      <c r="B11" s="104"/>
      <c r="C11" s="1" t="s">
        <v>381</v>
      </c>
      <c r="D11" s="106" t="s">
        <v>59</v>
      </c>
      <c r="E11" s="93">
        <v>44509</v>
      </c>
      <c r="F11" s="106" t="s">
        <v>60</v>
      </c>
      <c r="G11" s="93">
        <v>44512</v>
      </c>
      <c r="H11" s="92" t="s">
        <v>371</v>
      </c>
      <c r="I11" s="92">
        <v>45</v>
      </c>
      <c r="J11" s="92">
        <v>33</v>
      </c>
      <c r="K11" s="92">
        <v>37</v>
      </c>
      <c r="L11" s="92">
        <v>8</v>
      </c>
      <c r="M11" s="94">
        <v>13.73625</v>
      </c>
      <c r="N11" s="109">
        <v>13.73625</v>
      </c>
      <c r="O11" s="58">
        <v>7000</v>
      </c>
      <c r="P11" s="59">
        <f>Table224578910112345678910111213141516171819[[#This Row],[PEMBULATAN]]*O11</f>
        <v>96153.75</v>
      </c>
    </row>
    <row r="12" spans="1:16" ht="26.25" customHeight="1" x14ac:dyDescent="0.2">
      <c r="A12" s="104"/>
      <c r="B12" s="104"/>
      <c r="C12" s="1" t="s">
        <v>382</v>
      </c>
      <c r="D12" s="106" t="s">
        <v>59</v>
      </c>
      <c r="E12" s="93">
        <v>44509</v>
      </c>
      <c r="F12" s="106" t="s">
        <v>60</v>
      </c>
      <c r="G12" s="93">
        <v>44512</v>
      </c>
      <c r="H12" s="92" t="s">
        <v>371</v>
      </c>
      <c r="I12" s="92">
        <v>135</v>
      </c>
      <c r="J12" s="92">
        <v>54</v>
      </c>
      <c r="K12" s="92">
        <v>17</v>
      </c>
      <c r="L12" s="92">
        <v>18</v>
      </c>
      <c r="M12" s="94">
        <v>30.982500000000002</v>
      </c>
      <c r="N12" s="109">
        <v>30.982500000000002</v>
      </c>
      <c r="O12" s="58">
        <v>7000</v>
      </c>
      <c r="P12" s="59">
        <f>Table224578910112345678910111213141516171819[[#This Row],[PEMBULATAN]]*O12</f>
        <v>216877.5</v>
      </c>
    </row>
    <row r="13" spans="1:16" ht="26.25" customHeight="1" x14ac:dyDescent="0.2">
      <c r="A13" s="104"/>
      <c r="B13" s="104"/>
      <c r="C13" s="1" t="s">
        <v>383</v>
      </c>
      <c r="D13" s="106" t="s">
        <v>59</v>
      </c>
      <c r="E13" s="93">
        <v>44509</v>
      </c>
      <c r="F13" s="106" t="s">
        <v>60</v>
      </c>
      <c r="G13" s="93">
        <v>44512</v>
      </c>
      <c r="H13" s="92" t="s">
        <v>371</v>
      </c>
      <c r="I13" s="92">
        <v>57</v>
      </c>
      <c r="J13" s="92">
        <v>36</v>
      </c>
      <c r="K13" s="92">
        <v>32</v>
      </c>
      <c r="L13" s="92">
        <v>11</v>
      </c>
      <c r="M13" s="94">
        <v>16.416</v>
      </c>
      <c r="N13" s="109">
        <v>17</v>
      </c>
      <c r="O13" s="58">
        <v>7000</v>
      </c>
      <c r="P13" s="59">
        <f>Table224578910112345678910111213141516171819[[#This Row],[PEMBULATAN]]*O13</f>
        <v>119000</v>
      </c>
    </row>
    <row r="14" spans="1:16" ht="26.25" customHeight="1" x14ac:dyDescent="0.2">
      <c r="A14" s="104"/>
      <c r="B14" s="104"/>
      <c r="C14" s="113" t="s">
        <v>384</v>
      </c>
      <c r="D14" s="106" t="s">
        <v>59</v>
      </c>
      <c r="E14" s="93">
        <v>44509</v>
      </c>
      <c r="F14" s="106" t="s">
        <v>60</v>
      </c>
      <c r="G14" s="93">
        <v>44512</v>
      </c>
      <c r="H14" s="92" t="s">
        <v>371</v>
      </c>
      <c r="I14" s="92">
        <v>50</v>
      </c>
      <c r="J14" s="92">
        <v>35</v>
      </c>
      <c r="K14" s="92">
        <v>40</v>
      </c>
      <c r="L14" s="92">
        <v>20</v>
      </c>
      <c r="M14" s="94">
        <v>17.5</v>
      </c>
      <c r="N14" s="109">
        <v>20</v>
      </c>
      <c r="O14" s="58">
        <v>7000</v>
      </c>
      <c r="P14" s="59">
        <f>Table224578910112345678910111213141516171819[[#This Row],[PEMBULATAN]]*O14</f>
        <v>140000</v>
      </c>
    </row>
    <row r="15" spans="1:16" ht="26.25" customHeight="1" x14ac:dyDescent="0.2">
      <c r="A15" s="104"/>
      <c r="B15" s="104"/>
      <c r="C15" s="101" t="s">
        <v>385</v>
      </c>
      <c r="D15" s="106" t="s">
        <v>59</v>
      </c>
      <c r="E15" s="93">
        <v>44509</v>
      </c>
      <c r="F15" s="106" t="s">
        <v>60</v>
      </c>
      <c r="G15" s="93">
        <v>44512</v>
      </c>
      <c r="H15" s="92" t="s">
        <v>371</v>
      </c>
      <c r="I15" s="92">
        <v>52</v>
      </c>
      <c r="J15" s="92">
        <v>44</v>
      </c>
      <c r="K15" s="92">
        <v>36</v>
      </c>
      <c r="L15" s="92">
        <v>13</v>
      </c>
      <c r="M15" s="94">
        <v>20.591999999999999</v>
      </c>
      <c r="N15" s="109">
        <v>20.591999999999999</v>
      </c>
      <c r="O15" s="58">
        <v>7000</v>
      </c>
      <c r="P15" s="59">
        <f>Table224578910112345678910111213141516171819[[#This Row],[PEMBULATAN]]*O15</f>
        <v>144144</v>
      </c>
    </row>
    <row r="16" spans="1:16" ht="26.25" customHeight="1" x14ac:dyDescent="0.2">
      <c r="A16" s="104"/>
      <c r="B16" s="104"/>
      <c r="C16" s="1" t="s">
        <v>386</v>
      </c>
      <c r="D16" s="106" t="s">
        <v>59</v>
      </c>
      <c r="E16" s="93">
        <v>44509</v>
      </c>
      <c r="F16" s="106" t="s">
        <v>60</v>
      </c>
      <c r="G16" s="93">
        <v>44512</v>
      </c>
      <c r="H16" s="92" t="s">
        <v>371</v>
      </c>
      <c r="I16" s="92">
        <v>47</v>
      </c>
      <c r="J16" s="92">
        <v>37</v>
      </c>
      <c r="K16" s="92">
        <v>34</v>
      </c>
      <c r="L16" s="92">
        <v>9</v>
      </c>
      <c r="M16" s="94">
        <v>14.781499999999999</v>
      </c>
      <c r="N16" s="109">
        <v>14.781499999999999</v>
      </c>
      <c r="O16" s="58">
        <v>7000</v>
      </c>
      <c r="P16" s="59">
        <f>Table224578910112345678910111213141516171819[[#This Row],[PEMBULATAN]]*O16</f>
        <v>103470.5</v>
      </c>
    </row>
    <row r="17" spans="1:16" ht="26.25" customHeight="1" x14ac:dyDescent="0.2">
      <c r="A17" s="104"/>
      <c r="B17" s="104"/>
      <c r="C17" s="1" t="s">
        <v>387</v>
      </c>
      <c r="D17" s="106" t="s">
        <v>59</v>
      </c>
      <c r="E17" s="93">
        <v>44509</v>
      </c>
      <c r="F17" s="106" t="s">
        <v>60</v>
      </c>
      <c r="G17" s="93">
        <v>44512</v>
      </c>
      <c r="H17" s="92" t="s">
        <v>371</v>
      </c>
      <c r="I17" s="92">
        <v>44</v>
      </c>
      <c r="J17" s="92">
        <v>35</v>
      </c>
      <c r="K17" s="92">
        <v>25</v>
      </c>
      <c r="L17" s="92">
        <v>6</v>
      </c>
      <c r="M17" s="94">
        <v>9.625</v>
      </c>
      <c r="N17" s="109">
        <v>9.625</v>
      </c>
      <c r="O17" s="58">
        <v>7000</v>
      </c>
      <c r="P17" s="59">
        <f>Table224578910112345678910111213141516171819[[#This Row],[PEMBULATAN]]*O17</f>
        <v>67375</v>
      </c>
    </row>
    <row r="18" spans="1:16" ht="26.25" customHeight="1" x14ac:dyDescent="0.2">
      <c r="A18" s="104"/>
      <c r="B18" s="104"/>
      <c r="C18" s="1" t="s">
        <v>388</v>
      </c>
      <c r="D18" s="106" t="s">
        <v>59</v>
      </c>
      <c r="E18" s="93">
        <v>44509</v>
      </c>
      <c r="F18" s="106" t="s">
        <v>60</v>
      </c>
      <c r="G18" s="93">
        <v>44512</v>
      </c>
      <c r="H18" s="92" t="s">
        <v>371</v>
      </c>
      <c r="I18" s="92">
        <v>59</v>
      </c>
      <c r="J18" s="92">
        <v>47</v>
      </c>
      <c r="K18" s="92">
        <v>23</v>
      </c>
      <c r="L18" s="92">
        <v>11</v>
      </c>
      <c r="M18" s="94">
        <v>15.944750000000001</v>
      </c>
      <c r="N18" s="109">
        <v>15.944750000000001</v>
      </c>
      <c r="O18" s="58">
        <v>7000</v>
      </c>
      <c r="P18" s="59">
        <f>Table224578910112345678910111213141516171819[[#This Row],[PEMBULATAN]]*O18</f>
        <v>111613.25</v>
      </c>
    </row>
    <row r="19" spans="1:16" ht="26.25" customHeight="1" x14ac:dyDescent="0.2">
      <c r="A19" s="104"/>
      <c r="B19" s="104"/>
      <c r="C19" s="1" t="s">
        <v>389</v>
      </c>
      <c r="D19" s="106" t="s">
        <v>59</v>
      </c>
      <c r="E19" s="93">
        <v>44509</v>
      </c>
      <c r="F19" s="106" t="s">
        <v>60</v>
      </c>
      <c r="G19" s="93">
        <v>44512</v>
      </c>
      <c r="H19" s="92" t="s">
        <v>371</v>
      </c>
      <c r="I19" s="92">
        <v>33</v>
      </c>
      <c r="J19" s="92">
        <v>35</v>
      </c>
      <c r="K19" s="92">
        <v>25</v>
      </c>
      <c r="L19" s="92">
        <v>10</v>
      </c>
      <c r="M19" s="94">
        <v>7.21875</v>
      </c>
      <c r="N19" s="109">
        <v>10</v>
      </c>
      <c r="O19" s="58">
        <v>7000</v>
      </c>
      <c r="P19" s="59">
        <f>Table224578910112345678910111213141516171819[[#This Row],[PEMBULATAN]]*O19</f>
        <v>70000</v>
      </c>
    </row>
    <row r="20" spans="1:16" ht="26.25" customHeight="1" x14ac:dyDescent="0.2">
      <c r="A20" s="104"/>
      <c r="B20" s="104"/>
      <c r="C20" s="1" t="s">
        <v>390</v>
      </c>
      <c r="D20" s="106" t="s">
        <v>59</v>
      </c>
      <c r="E20" s="93">
        <v>44509</v>
      </c>
      <c r="F20" s="106" t="s">
        <v>60</v>
      </c>
      <c r="G20" s="93">
        <v>44512</v>
      </c>
      <c r="H20" s="92" t="s">
        <v>371</v>
      </c>
      <c r="I20" s="92">
        <v>44</v>
      </c>
      <c r="J20" s="92">
        <v>37</v>
      </c>
      <c r="K20" s="92">
        <v>28</v>
      </c>
      <c r="L20" s="92">
        <v>1</v>
      </c>
      <c r="M20" s="94">
        <v>11.396000000000001</v>
      </c>
      <c r="N20" s="109">
        <v>12</v>
      </c>
      <c r="O20" s="58">
        <v>7000</v>
      </c>
      <c r="P20" s="59">
        <f>Table224578910112345678910111213141516171819[[#This Row],[PEMBULATAN]]*O20</f>
        <v>84000</v>
      </c>
    </row>
    <row r="21" spans="1:16" ht="26.25" customHeight="1" x14ac:dyDescent="0.2">
      <c r="A21" s="104"/>
      <c r="B21" s="104"/>
      <c r="C21" s="1" t="s">
        <v>391</v>
      </c>
      <c r="D21" s="106" t="s">
        <v>59</v>
      </c>
      <c r="E21" s="93">
        <v>44509</v>
      </c>
      <c r="F21" s="106" t="s">
        <v>60</v>
      </c>
      <c r="G21" s="93">
        <v>44512</v>
      </c>
      <c r="H21" s="92" t="s">
        <v>371</v>
      </c>
      <c r="I21" s="92">
        <v>29</v>
      </c>
      <c r="J21" s="92">
        <v>27</v>
      </c>
      <c r="K21" s="92">
        <v>22</v>
      </c>
      <c r="L21" s="92">
        <v>5</v>
      </c>
      <c r="M21" s="94">
        <v>4.3064999999999998</v>
      </c>
      <c r="N21" s="109">
        <v>5</v>
      </c>
      <c r="O21" s="58">
        <v>7000</v>
      </c>
      <c r="P21" s="59">
        <f>Table224578910112345678910111213141516171819[[#This Row],[PEMBULATAN]]*O21</f>
        <v>35000</v>
      </c>
    </row>
    <row r="22" spans="1:16" ht="26.25" customHeight="1" x14ac:dyDescent="0.2">
      <c r="A22" s="104"/>
      <c r="B22" s="104"/>
      <c r="C22" s="1" t="s">
        <v>392</v>
      </c>
      <c r="D22" s="106" t="s">
        <v>59</v>
      </c>
      <c r="E22" s="93">
        <v>44509</v>
      </c>
      <c r="F22" s="106" t="s">
        <v>60</v>
      </c>
      <c r="G22" s="93">
        <v>44512</v>
      </c>
      <c r="H22" s="92" t="s">
        <v>371</v>
      </c>
      <c r="I22" s="92">
        <v>50</v>
      </c>
      <c r="J22" s="92">
        <v>36</v>
      </c>
      <c r="K22" s="92">
        <v>32</v>
      </c>
      <c r="L22" s="92">
        <v>6</v>
      </c>
      <c r="M22" s="94">
        <v>14.4</v>
      </c>
      <c r="N22" s="109">
        <v>15</v>
      </c>
      <c r="O22" s="58">
        <v>7000</v>
      </c>
      <c r="P22" s="59">
        <f>Table224578910112345678910111213141516171819[[#This Row],[PEMBULATAN]]*O22</f>
        <v>105000</v>
      </c>
    </row>
    <row r="23" spans="1:16" ht="26.25" customHeight="1" x14ac:dyDescent="0.2">
      <c r="A23" s="104"/>
      <c r="B23" s="104"/>
      <c r="C23" s="1" t="s">
        <v>393</v>
      </c>
      <c r="D23" s="106" t="s">
        <v>59</v>
      </c>
      <c r="E23" s="93">
        <v>44509</v>
      </c>
      <c r="F23" s="106" t="s">
        <v>60</v>
      </c>
      <c r="G23" s="93">
        <v>44512</v>
      </c>
      <c r="H23" s="92" t="s">
        <v>371</v>
      </c>
      <c r="I23" s="92">
        <v>38</v>
      </c>
      <c r="J23" s="92">
        <v>40</v>
      </c>
      <c r="K23" s="92">
        <v>18</v>
      </c>
      <c r="L23" s="92">
        <v>9</v>
      </c>
      <c r="M23" s="94">
        <v>6.84</v>
      </c>
      <c r="N23" s="109">
        <v>9</v>
      </c>
      <c r="O23" s="58">
        <v>7000</v>
      </c>
      <c r="P23" s="59">
        <f>Table224578910112345678910111213141516171819[[#This Row],[PEMBULATAN]]*O23</f>
        <v>63000</v>
      </c>
    </row>
    <row r="24" spans="1:16" ht="26.25" customHeight="1" x14ac:dyDescent="0.2">
      <c r="A24" s="104"/>
      <c r="B24" s="105"/>
      <c r="C24" s="1" t="s">
        <v>394</v>
      </c>
      <c r="D24" s="106" t="s">
        <v>59</v>
      </c>
      <c r="E24" s="93">
        <v>44509</v>
      </c>
      <c r="F24" s="106" t="s">
        <v>60</v>
      </c>
      <c r="G24" s="93">
        <v>44512</v>
      </c>
      <c r="H24" s="92" t="s">
        <v>371</v>
      </c>
      <c r="I24" s="92">
        <v>32</v>
      </c>
      <c r="J24" s="92">
        <v>33</v>
      </c>
      <c r="K24" s="92">
        <v>43</v>
      </c>
      <c r="L24" s="92">
        <v>7</v>
      </c>
      <c r="M24" s="94">
        <v>11.352</v>
      </c>
      <c r="N24" s="109">
        <v>12</v>
      </c>
      <c r="O24" s="58">
        <v>7000</v>
      </c>
      <c r="P24" s="59">
        <f>Table224578910112345678910111213141516171819[[#This Row],[PEMBULATAN]]*O24</f>
        <v>84000</v>
      </c>
    </row>
    <row r="25" spans="1:16" ht="26.25" customHeight="1" x14ac:dyDescent="0.2">
      <c r="A25" s="104"/>
      <c r="B25" s="104" t="s">
        <v>395</v>
      </c>
      <c r="C25" s="1" t="s">
        <v>396</v>
      </c>
      <c r="D25" s="106" t="s">
        <v>59</v>
      </c>
      <c r="E25" s="93">
        <v>44509</v>
      </c>
      <c r="F25" s="106" t="s">
        <v>60</v>
      </c>
      <c r="G25" s="93">
        <v>44512</v>
      </c>
      <c r="H25" s="92" t="s">
        <v>371</v>
      </c>
      <c r="I25" s="92">
        <v>52</v>
      </c>
      <c r="J25" s="92">
        <v>51</v>
      </c>
      <c r="K25" s="92">
        <v>23</v>
      </c>
      <c r="L25" s="92">
        <v>16</v>
      </c>
      <c r="M25" s="94">
        <v>15.249000000000001</v>
      </c>
      <c r="N25" s="109">
        <v>16</v>
      </c>
      <c r="O25" s="58">
        <v>7000</v>
      </c>
      <c r="P25" s="59">
        <f>Table224578910112345678910111213141516171819[[#This Row],[PEMBULATAN]]*O25</f>
        <v>112000</v>
      </c>
    </row>
    <row r="26" spans="1:16" ht="26.25" customHeight="1" x14ac:dyDescent="0.2">
      <c r="A26" s="104"/>
      <c r="B26" s="104"/>
      <c r="C26" s="1" t="s">
        <v>397</v>
      </c>
      <c r="D26" s="106" t="s">
        <v>59</v>
      </c>
      <c r="E26" s="93">
        <v>44509</v>
      </c>
      <c r="F26" s="106" t="s">
        <v>60</v>
      </c>
      <c r="G26" s="93">
        <v>44512</v>
      </c>
      <c r="H26" s="92" t="s">
        <v>371</v>
      </c>
      <c r="I26" s="92">
        <v>58</v>
      </c>
      <c r="J26" s="92">
        <v>34</v>
      </c>
      <c r="K26" s="92">
        <v>20</v>
      </c>
      <c r="L26" s="92">
        <v>6</v>
      </c>
      <c r="M26" s="94">
        <v>9.86</v>
      </c>
      <c r="N26" s="109">
        <v>9.86</v>
      </c>
      <c r="O26" s="58">
        <v>7000</v>
      </c>
      <c r="P26" s="59">
        <f>Table224578910112345678910111213141516171819[[#This Row],[PEMBULATAN]]*O26</f>
        <v>69020</v>
      </c>
    </row>
    <row r="27" spans="1:16" ht="26.25" customHeight="1" x14ac:dyDescent="0.2">
      <c r="A27" s="104"/>
      <c r="B27" s="105"/>
      <c r="C27" s="1" t="s">
        <v>398</v>
      </c>
      <c r="D27" s="106" t="s">
        <v>59</v>
      </c>
      <c r="E27" s="93">
        <v>44509</v>
      </c>
      <c r="F27" s="106" t="s">
        <v>60</v>
      </c>
      <c r="G27" s="93">
        <v>44512</v>
      </c>
      <c r="H27" s="92" t="s">
        <v>371</v>
      </c>
      <c r="I27" s="92">
        <v>51</v>
      </c>
      <c r="J27" s="92">
        <v>40</v>
      </c>
      <c r="K27" s="92">
        <v>20</v>
      </c>
      <c r="L27" s="92">
        <v>8</v>
      </c>
      <c r="M27" s="94">
        <v>10.199999999999999</v>
      </c>
      <c r="N27" s="109">
        <v>10.199999999999999</v>
      </c>
      <c r="O27" s="58">
        <v>7000</v>
      </c>
      <c r="P27" s="59">
        <f>Table224578910112345678910111213141516171819[[#This Row],[PEMBULATAN]]*O27</f>
        <v>71400</v>
      </c>
    </row>
    <row r="28" spans="1:16" ht="26.25" customHeight="1" x14ac:dyDescent="0.2">
      <c r="A28" s="104"/>
      <c r="B28" s="104" t="s">
        <v>399</v>
      </c>
      <c r="C28" s="112" t="s">
        <v>400</v>
      </c>
      <c r="D28" s="106" t="s">
        <v>59</v>
      </c>
      <c r="E28" s="93">
        <v>44509</v>
      </c>
      <c r="F28" s="106" t="s">
        <v>60</v>
      </c>
      <c r="G28" s="93">
        <v>44512</v>
      </c>
      <c r="H28" s="92" t="s">
        <v>371</v>
      </c>
      <c r="I28" s="92">
        <v>148</v>
      </c>
      <c r="J28" s="92">
        <v>64</v>
      </c>
      <c r="K28" s="92">
        <v>10</v>
      </c>
      <c r="L28" s="92">
        <v>10</v>
      </c>
      <c r="M28" s="94">
        <v>23.68</v>
      </c>
      <c r="N28" s="109">
        <v>23.68</v>
      </c>
      <c r="O28" s="58">
        <v>7000</v>
      </c>
      <c r="P28" s="59">
        <f>Table224578910112345678910111213141516171819[[#This Row],[PEMBULATAN]]*O28</f>
        <v>165760</v>
      </c>
    </row>
    <row r="29" spans="1:16" ht="26.25" customHeight="1" x14ac:dyDescent="0.2">
      <c r="A29" s="105"/>
      <c r="B29" s="105"/>
      <c r="C29" s="1" t="s">
        <v>401</v>
      </c>
      <c r="D29" s="106" t="s">
        <v>59</v>
      </c>
      <c r="E29" s="93">
        <v>44509</v>
      </c>
      <c r="F29" s="106" t="s">
        <v>60</v>
      </c>
      <c r="G29" s="93">
        <v>44512</v>
      </c>
      <c r="H29" s="92" t="s">
        <v>371</v>
      </c>
      <c r="I29" s="92">
        <v>148</v>
      </c>
      <c r="J29" s="92">
        <v>64</v>
      </c>
      <c r="K29" s="92">
        <v>10</v>
      </c>
      <c r="L29" s="92">
        <v>10</v>
      </c>
      <c r="M29" s="94">
        <v>23.68</v>
      </c>
      <c r="N29" s="109">
        <v>23.68</v>
      </c>
      <c r="O29" s="58">
        <v>7000</v>
      </c>
      <c r="P29" s="59">
        <f>Table224578910112345678910111213141516171819[[#This Row],[PEMBULATAN]]*O29</f>
        <v>165760</v>
      </c>
    </row>
    <row r="30" spans="1:16" ht="22.5" customHeight="1" x14ac:dyDescent="0.2">
      <c r="A30" s="145" t="s">
        <v>30</v>
      </c>
      <c r="B30" s="146"/>
      <c r="C30" s="146"/>
      <c r="D30" s="146"/>
      <c r="E30" s="146"/>
      <c r="F30" s="146"/>
      <c r="G30" s="146"/>
      <c r="H30" s="146"/>
      <c r="I30" s="146"/>
      <c r="J30" s="146"/>
      <c r="K30" s="146"/>
      <c r="L30" s="147"/>
      <c r="M30" s="73">
        <f>SUBTOTAL(109,Table224578910112345678910111213141516171819[KG VOLUME])</f>
        <v>378.1925</v>
      </c>
      <c r="N30" s="62">
        <f>SUM(N3:N29)</f>
        <v>411.67124999999999</v>
      </c>
      <c r="O30" s="148">
        <f>SUM(P3:P29)</f>
        <v>2881698.75</v>
      </c>
      <c r="P30" s="149"/>
    </row>
    <row r="31" spans="1:16" ht="18" customHeight="1" x14ac:dyDescent="0.2">
      <c r="A31" s="80"/>
      <c r="B31" s="50" t="s">
        <v>42</v>
      </c>
      <c r="C31" s="49"/>
      <c r="D31" s="51" t="s">
        <v>43</v>
      </c>
      <c r="E31" s="80"/>
      <c r="F31" s="80"/>
      <c r="G31" s="80"/>
      <c r="H31" s="80"/>
      <c r="I31" s="80"/>
      <c r="J31" s="80"/>
      <c r="K31" s="80"/>
      <c r="L31" s="80"/>
      <c r="M31" s="81"/>
      <c r="N31" s="82" t="s">
        <v>52</v>
      </c>
      <c r="O31" s="83"/>
      <c r="P31" s="83">
        <v>0</v>
      </c>
    </row>
    <row r="32" spans="1:16" ht="18" customHeight="1" thickBot="1" x14ac:dyDescent="0.25">
      <c r="A32" s="80"/>
      <c r="B32" s="50"/>
      <c r="C32" s="49"/>
      <c r="D32" s="51"/>
      <c r="E32" s="80"/>
      <c r="F32" s="80"/>
      <c r="G32" s="80"/>
      <c r="H32" s="80"/>
      <c r="I32" s="80"/>
      <c r="J32" s="80"/>
      <c r="K32" s="80"/>
      <c r="L32" s="80"/>
      <c r="M32" s="81"/>
      <c r="N32" s="84" t="s">
        <v>53</v>
      </c>
      <c r="O32" s="85"/>
      <c r="P32" s="85">
        <f>O30-P31</f>
        <v>2881698.75</v>
      </c>
    </row>
    <row r="33" spans="1:16" ht="18" customHeight="1" x14ac:dyDescent="0.2">
      <c r="A33" s="11"/>
      <c r="H33" s="57"/>
      <c r="N33" s="56" t="s">
        <v>31</v>
      </c>
      <c r="P33" s="63">
        <f>P32*1%</f>
        <v>28816.987499999999</v>
      </c>
    </row>
    <row r="34" spans="1:16" ht="18" customHeight="1" thickBot="1" x14ac:dyDescent="0.25">
      <c r="A34" s="11"/>
      <c r="H34" s="57"/>
      <c r="N34" s="56" t="s">
        <v>54</v>
      </c>
      <c r="P34" s="65">
        <f>P32*2%</f>
        <v>57633.974999999999</v>
      </c>
    </row>
    <row r="35" spans="1:16" ht="18" customHeight="1" x14ac:dyDescent="0.2">
      <c r="A35" s="11"/>
      <c r="H35" s="57"/>
      <c r="N35" s="60" t="s">
        <v>32</v>
      </c>
      <c r="O35" s="61"/>
      <c r="P35" s="64">
        <f>P32+P33-P34</f>
        <v>2852881.7624999997</v>
      </c>
    </row>
    <row r="37" spans="1:16" x14ac:dyDescent="0.2">
      <c r="A37" s="11"/>
      <c r="H37" s="57"/>
      <c r="P37" s="65"/>
    </row>
    <row r="38" spans="1:16" x14ac:dyDescent="0.2">
      <c r="A38" s="11"/>
      <c r="H38" s="57"/>
      <c r="O38" s="52"/>
      <c r="P38" s="65"/>
    </row>
    <row r="39" spans="1:16" s="3" customFormat="1" x14ac:dyDescent="0.25">
      <c r="A39" s="11"/>
      <c r="B39" s="2"/>
      <c r="C39" s="2"/>
      <c r="E39" s="12"/>
      <c r="H39" s="57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57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57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57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57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57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57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57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57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57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57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57"/>
      <c r="N50" s="15"/>
      <c r="O50" s="15"/>
      <c r="P50" s="15"/>
    </row>
  </sheetData>
  <mergeCells count="2">
    <mergeCell ref="A30:L30"/>
    <mergeCell ref="O30:P30"/>
  </mergeCells>
  <conditionalFormatting sqref="C3:C24">
    <cfRule type="duplicateValues" dxfId="402" priority="3"/>
  </conditionalFormatting>
  <conditionalFormatting sqref="C25:C27">
    <cfRule type="duplicateValues" dxfId="401" priority="2"/>
  </conditionalFormatting>
  <conditionalFormatting sqref="C28:C29">
    <cfRule type="duplicateValues" dxfId="400" priority="1"/>
  </conditionalFormatting>
  <hyperlinks>
    <hyperlink ref="C3" r:id="rId1" display="https://www.sicepat.com/"/>
    <hyperlink ref="C14" r:id="rId2" display="https://www.sicepat.com/"/>
  </hyperlinks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B11" sqref="B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116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77">
        <v>403451</v>
      </c>
      <c r="B3" s="68" t="s">
        <v>57</v>
      </c>
      <c r="C3" s="9" t="s">
        <v>58</v>
      </c>
      <c r="D3" s="70" t="s">
        <v>59</v>
      </c>
      <c r="E3" s="13">
        <v>44501</v>
      </c>
      <c r="F3" s="70" t="s">
        <v>60</v>
      </c>
      <c r="G3" s="13">
        <v>44503</v>
      </c>
      <c r="H3" s="10" t="s">
        <v>61</v>
      </c>
      <c r="I3" s="1">
        <v>52</v>
      </c>
      <c r="J3" s="1">
        <v>35</v>
      </c>
      <c r="K3" s="1">
        <v>20</v>
      </c>
      <c r="L3" s="1">
        <v>5</v>
      </c>
      <c r="M3" s="74">
        <v>9.1</v>
      </c>
      <c r="N3" s="90">
        <v>9.1</v>
      </c>
      <c r="O3" s="58">
        <v>7000</v>
      </c>
      <c r="P3" s="59">
        <f>Table224578910112[[#This Row],[PEMBULATAN]]*O3</f>
        <v>63700</v>
      </c>
    </row>
    <row r="4" spans="1:16" ht="22.5" customHeight="1" x14ac:dyDescent="0.2">
      <c r="A4" s="145" t="s">
        <v>30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7"/>
      <c r="M4" s="73">
        <f>SUBTOTAL(109,Table224578910112[KG VOLUME])</f>
        <v>9.1</v>
      </c>
      <c r="N4" s="62">
        <f>SUM(N3:N3)</f>
        <v>9.1</v>
      </c>
      <c r="O4" s="148">
        <f>SUM(P3:P3)</f>
        <v>63700</v>
      </c>
      <c r="P4" s="149"/>
    </row>
    <row r="5" spans="1:16" ht="18" customHeight="1" x14ac:dyDescent="0.2">
      <c r="A5" s="80"/>
      <c r="B5" s="50" t="s">
        <v>42</v>
      </c>
      <c r="C5" s="49"/>
      <c r="D5" s="51" t="s">
        <v>43</v>
      </c>
      <c r="E5" s="80"/>
      <c r="F5" s="80"/>
      <c r="G5" s="80"/>
      <c r="H5" s="80"/>
      <c r="I5" s="80"/>
      <c r="J5" s="80"/>
      <c r="K5" s="80"/>
      <c r="L5" s="80"/>
      <c r="M5" s="81"/>
      <c r="N5" s="82" t="s">
        <v>52</v>
      </c>
      <c r="O5" s="83"/>
      <c r="P5" s="83">
        <v>0</v>
      </c>
    </row>
    <row r="6" spans="1:16" ht="18" customHeight="1" thickBot="1" x14ac:dyDescent="0.25">
      <c r="A6" s="80"/>
      <c r="B6" s="50"/>
      <c r="C6" s="49"/>
      <c r="D6" s="51"/>
      <c r="E6" s="80"/>
      <c r="F6" s="80"/>
      <c r="G6" s="80"/>
      <c r="H6" s="80"/>
      <c r="I6" s="80"/>
      <c r="J6" s="80"/>
      <c r="K6" s="80"/>
      <c r="L6" s="80"/>
      <c r="M6" s="81"/>
      <c r="N6" s="84" t="s">
        <v>53</v>
      </c>
      <c r="O6" s="85"/>
      <c r="P6" s="85">
        <f>O4-P5</f>
        <v>63700</v>
      </c>
    </row>
    <row r="7" spans="1:16" ht="18" customHeight="1" x14ac:dyDescent="0.2">
      <c r="A7" s="11"/>
      <c r="H7" s="57"/>
      <c r="N7" s="56" t="s">
        <v>31</v>
      </c>
      <c r="P7" s="63">
        <f>P6*1%</f>
        <v>637</v>
      </c>
    </row>
    <row r="8" spans="1:16" ht="18" customHeight="1" thickBot="1" x14ac:dyDescent="0.25">
      <c r="A8" s="11"/>
      <c r="H8" s="57"/>
      <c r="N8" s="56" t="s">
        <v>54</v>
      </c>
      <c r="P8" s="65">
        <f>P6*2%</f>
        <v>1274</v>
      </c>
    </row>
    <row r="9" spans="1:16" ht="18" customHeight="1" x14ac:dyDescent="0.2">
      <c r="A9" s="11"/>
      <c r="H9" s="57"/>
      <c r="N9" s="60" t="s">
        <v>32</v>
      </c>
      <c r="O9" s="61"/>
      <c r="P9" s="64">
        <f>P6+P7-P8</f>
        <v>63063</v>
      </c>
    </row>
    <row r="11" spans="1:16" x14ac:dyDescent="0.2">
      <c r="A11" s="11"/>
      <c r="H11" s="57"/>
      <c r="P11" s="65"/>
    </row>
    <row r="12" spans="1:16" x14ac:dyDescent="0.2">
      <c r="A12" s="11"/>
      <c r="H12" s="57"/>
      <c r="O12" s="52"/>
      <c r="P12" s="65"/>
    </row>
    <row r="13" spans="1:16" s="3" customFormat="1" x14ac:dyDescent="0.25">
      <c r="A13" s="11"/>
      <c r="B13" s="2"/>
      <c r="C13" s="2"/>
      <c r="E13" s="12"/>
      <c r="H13" s="57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57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57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57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57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57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57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7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7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7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7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7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700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0" sqref="H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" style="3" customWidth="1"/>
    <col min="5" max="5" width="10.5703125" style="12" customWidth="1"/>
    <col min="6" max="6" width="16.5703125" style="3" customWidth="1"/>
    <col min="7" max="7" width="9.5703125" style="3" customWidth="1"/>
    <col min="8" max="8" width="15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2.28515625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3">
        <v>404020</v>
      </c>
      <c r="B3" s="103" t="s">
        <v>402</v>
      </c>
      <c r="C3" s="92" t="s">
        <v>403</v>
      </c>
      <c r="D3" s="106" t="s">
        <v>59</v>
      </c>
      <c r="E3" s="93">
        <v>44510</v>
      </c>
      <c r="F3" s="92" t="s">
        <v>60</v>
      </c>
      <c r="G3" s="93">
        <v>44512</v>
      </c>
      <c r="H3" s="92" t="s">
        <v>371</v>
      </c>
      <c r="I3" s="92">
        <v>31</v>
      </c>
      <c r="J3" s="92">
        <v>28</v>
      </c>
      <c r="K3" s="92">
        <v>27</v>
      </c>
      <c r="L3" s="92">
        <v>5</v>
      </c>
      <c r="M3" s="94">
        <v>5.859</v>
      </c>
      <c r="N3" s="109">
        <v>5.859</v>
      </c>
      <c r="O3" s="58">
        <v>7000</v>
      </c>
      <c r="P3" s="59">
        <f>Table22457891011234567891011121314151617181920[[#This Row],[PEMBULATAN]]*O3</f>
        <v>41013</v>
      </c>
    </row>
    <row r="4" spans="1:16" ht="26.25" customHeight="1" x14ac:dyDescent="0.2">
      <c r="A4" s="104"/>
      <c r="B4" s="104"/>
      <c r="C4" s="92" t="s">
        <v>404</v>
      </c>
      <c r="D4" s="106" t="s">
        <v>59</v>
      </c>
      <c r="E4" s="93">
        <v>44510</v>
      </c>
      <c r="F4" s="92" t="s">
        <v>60</v>
      </c>
      <c r="G4" s="93">
        <v>44512</v>
      </c>
      <c r="H4" s="92" t="s">
        <v>371</v>
      </c>
      <c r="I4" s="92">
        <v>38</v>
      </c>
      <c r="J4" s="92">
        <v>42</v>
      </c>
      <c r="K4" s="92">
        <v>11</v>
      </c>
      <c r="L4" s="92">
        <v>5</v>
      </c>
      <c r="M4" s="94">
        <v>4.3890000000000002</v>
      </c>
      <c r="N4" s="109">
        <v>5</v>
      </c>
      <c r="O4" s="58">
        <v>7000</v>
      </c>
      <c r="P4" s="59">
        <f>Table22457891011234567891011121314151617181920[[#This Row],[PEMBULATAN]]*O4</f>
        <v>35000</v>
      </c>
    </row>
    <row r="5" spans="1:16" ht="26.25" customHeight="1" x14ac:dyDescent="0.2">
      <c r="A5" s="104"/>
      <c r="B5" s="105"/>
      <c r="C5" s="92" t="s">
        <v>405</v>
      </c>
      <c r="D5" s="106" t="s">
        <v>59</v>
      </c>
      <c r="E5" s="93">
        <v>44510</v>
      </c>
      <c r="F5" s="92" t="s">
        <v>60</v>
      </c>
      <c r="G5" s="93">
        <v>44512</v>
      </c>
      <c r="H5" s="92" t="s">
        <v>371</v>
      </c>
      <c r="I5" s="92">
        <v>50</v>
      </c>
      <c r="J5" s="92">
        <v>41</v>
      </c>
      <c r="K5" s="92">
        <v>36</v>
      </c>
      <c r="L5" s="92">
        <v>14</v>
      </c>
      <c r="M5" s="94">
        <v>18.45</v>
      </c>
      <c r="N5" s="109">
        <v>19</v>
      </c>
      <c r="O5" s="58">
        <v>7000</v>
      </c>
      <c r="P5" s="59">
        <f>Table22457891011234567891011121314151617181920[[#This Row],[PEMBULATAN]]*O5</f>
        <v>133000</v>
      </c>
    </row>
    <row r="6" spans="1:16" ht="26.25" customHeight="1" x14ac:dyDescent="0.2">
      <c r="A6" s="104"/>
      <c r="B6" s="92" t="s">
        <v>406</v>
      </c>
      <c r="C6" s="92" t="s">
        <v>407</v>
      </c>
      <c r="D6" s="106" t="s">
        <v>59</v>
      </c>
      <c r="E6" s="93">
        <v>44510</v>
      </c>
      <c r="F6" s="92" t="s">
        <v>60</v>
      </c>
      <c r="G6" s="93">
        <v>44512</v>
      </c>
      <c r="H6" s="92" t="s">
        <v>371</v>
      </c>
      <c r="I6" s="92">
        <v>42</v>
      </c>
      <c r="J6" s="92">
        <v>47</v>
      </c>
      <c r="K6" s="92">
        <v>31</v>
      </c>
      <c r="L6" s="92">
        <v>11</v>
      </c>
      <c r="M6" s="94">
        <v>15.298500000000001</v>
      </c>
      <c r="N6" s="109">
        <v>16</v>
      </c>
      <c r="O6" s="58">
        <v>7000</v>
      </c>
      <c r="P6" s="59">
        <f>Table22457891011234567891011121314151617181920[[#This Row],[PEMBULATAN]]*O6</f>
        <v>112000</v>
      </c>
    </row>
    <row r="7" spans="1:16" ht="26.25" customHeight="1" x14ac:dyDescent="0.2">
      <c r="A7" s="105"/>
      <c r="B7" s="105" t="s">
        <v>408</v>
      </c>
      <c r="C7" s="92" t="s">
        <v>409</v>
      </c>
      <c r="D7" s="106" t="s">
        <v>59</v>
      </c>
      <c r="E7" s="93">
        <v>44510</v>
      </c>
      <c r="F7" s="92" t="s">
        <v>60</v>
      </c>
      <c r="G7" s="93">
        <v>44512</v>
      </c>
      <c r="H7" s="92" t="s">
        <v>371</v>
      </c>
      <c r="I7" s="92">
        <v>38</v>
      </c>
      <c r="J7" s="92">
        <v>21</v>
      </c>
      <c r="K7" s="92">
        <v>26</v>
      </c>
      <c r="L7" s="92">
        <v>11</v>
      </c>
      <c r="M7" s="94">
        <v>5.1870000000000003</v>
      </c>
      <c r="N7" s="109">
        <v>11</v>
      </c>
      <c r="O7" s="58">
        <v>7000</v>
      </c>
      <c r="P7" s="59">
        <f>Table22457891011234567891011121314151617181920[[#This Row],[PEMBULATAN]]*O7</f>
        <v>77000</v>
      </c>
    </row>
    <row r="8" spans="1:16" ht="22.5" customHeight="1" x14ac:dyDescent="0.2">
      <c r="A8" s="145" t="s">
        <v>30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7"/>
      <c r="M8" s="73">
        <f>SUBTOTAL(109,Table22457891011234567891011121314151617181920[KG VOLUME])</f>
        <v>49.183499999999995</v>
      </c>
      <c r="N8" s="62">
        <f>SUM(N3:N7)</f>
        <v>56.859000000000002</v>
      </c>
      <c r="O8" s="148">
        <f>SUM(P3:P7)</f>
        <v>398013</v>
      </c>
      <c r="P8" s="149"/>
    </row>
    <row r="9" spans="1:16" ht="18" customHeight="1" x14ac:dyDescent="0.2">
      <c r="A9" s="80"/>
      <c r="B9" s="50" t="s">
        <v>42</v>
      </c>
      <c r="C9" s="49"/>
      <c r="D9" s="51" t="s">
        <v>43</v>
      </c>
      <c r="E9" s="80"/>
      <c r="F9" s="80"/>
      <c r="G9" s="80"/>
      <c r="H9" s="80"/>
      <c r="I9" s="80"/>
      <c r="J9" s="80"/>
      <c r="K9" s="80"/>
      <c r="L9" s="80"/>
      <c r="M9" s="81"/>
      <c r="N9" s="82" t="s">
        <v>52</v>
      </c>
      <c r="O9" s="83"/>
      <c r="P9" s="83">
        <v>0</v>
      </c>
    </row>
    <row r="10" spans="1:16" ht="18" customHeight="1" thickBot="1" x14ac:dyDescent="0.25">
      <c r="A10" s="80"/>
      <c r="B10" s="50"/>
      <c r="C10" s="49"/>
      <c r="D10" s="51"/>
      <c r="E10" s="80"/>
      <c r="F10" s="80"/>
      <c r="G10" s="80"/>
      <c r="H10" s="80"/>
      <c r="I10" s="80"/>
      <c r="J10" s="80"/>
      <c r="K10" s="80"/>
      <c r="L10" s="80"/>
      <c r="M10" s="81"/>
      <c r="N10" s="84" t="s">
        <v>53</v>
      </c>
      <c r="O10" s="85"/>
      <c r="P10" s="85">
        <f>O8-P9</f>
        <v>398013</v>
      </c>
    </row>
    <row r="11" spans="1:16" ht="18" customHeight="1" x14ac:dyDescent="0.2">
      <c r="A11" s="11"/>
      <c r="H11" s="57"/>
      <c r="N11" s="56" t="s">
        <v>31</v>
      </c>
      <c r="P11" s="63">
        <f>P10*1%</f>
        <v>3980.13</v>
      </c>
    </row>
    <row r="12" spans="1:16" ht="18" customHeight="1" thickBot="1" x14ac:dyDescent="0.25">
      <c r="A12" s="11"/>
      <c r="H12" s="57"/>
      <c r="N12" s="56" t="s">
        <v>54</v>
      </c>
      <c r="P12" s="65">
        <f>P10*2%</f>
        <v>7960.26</v>
      </c>
    </row>
    <row r="13" spans="1:16" ht="18" customHeight="1" x14ac:dyDescent="0.2">
      <c r="A13" s="11"/>
      <c r="H13" s="57"/>
      <c r="N13" s="60" t="s">
        <v>32</v>
      </c>
      <c r="O13" s="61"/>
      <c r="P13" s="64">
        <f>P10+P11-P12</f>
        <v>394032.87</v>
      </c>
    </row>
    <row r="15" spans="1:16" x14ac:dyDescent="0.2">
      <c r="A15" s="11"/>
      <c r="H15" s="57"/>
      <c r="P15" s="65"/>
    </row>
    <row r="16" spans="1:16" x14ac:dyDescent="0.2">
      <c r="A16" s="11"/>
      <c r="H16" s="57"/>
      <c r="O16" s="52"/>
      <c r="P16" s="65"/>
    </row>
    <row r="17" spans="1:16" s="3" customFormat="1" x14ac:dyDescent="0.25">
      <c r="A17" s="11"/>
      <c r="B17" s="2"/>
      <c r="C17" s="2"/>
      <c r="E17" s="12"/>
      <c r="H17" s="57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57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57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7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7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7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7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7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7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57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57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57"/>
      <c r="N28" s="15"/>
      <c r="O28" s="15"/>
      <c r="P28" s="15"/>
    </row>
  </sheetData>
  <mergeCells count="2">
    <mergeCell ref="A8:L8"/>
    <mergeCell ref="O8:P8"/>
  </mergeCells>
  <conditionalFormatting sqref="B7">
    <cfRule type="duplicateValues" dxfId="384" priority="4"/>
  </conditionalFormatting>
  <conditionalFormatting sqref="C3:C5">
    <cfRule type="duplicateValues" dxfId="383" priority="3"/>
  </conditionalFormatting>
  <conditionalFormatting sqref="C6">
    <cfRule type="duplicateValues" dxfId="382" priority="2"/>
  </conditionalFormatting>
  <conditionalFormatting sqref="C7">
    <cfRule type="duplicateValues" dxfId="381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3"/>
  <sheetViews>
    <sheetView zoomScale="110" zoomScaleNormal="110" workbookViewId="0">
      <pane xSplit="3" ySplit="2" topLeftCell="D15" activePane="bottomRight" state="frozen"/>
      <selection pane="topRight" activeCell="B1" sqref="B1"/>
      <selection pane="bottomLeft" activeCell="A3" sqref="A3"/>
      <selection pane="bottomRight" activeCell="K16" sqref="K16"/>
    </sheetView>
  </sheetViews>
  <sheetFormatPr defaultRowHeight="15" x14ac:dyDescent="0.2"/>
  <cols>
    <col min="1" max="1" width="8" style="4" customWidth="1"/>
    <col min="2" max="2" width="19.7109375" style="2" customWidth="1"/>
    <col min="3" max="3" width="15" style="2" customWidth="1"/>
    <col min="4" max="4" width="9.85546875" style="3" customWidth="1"/>
    <col min="5" max="5" width="8.5703125" style="12" customWidth="1"/>
    <col min="6" max="6" width="16.42578125" style="3" customWidth="1"/>
    <col min="7" max="7" width="9.5703125" style="3" customWidth="1"/>
    <col min="8" max="8" width="1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116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0">
        <v>402349</v>
      </c>
      <c r="B3" s="100" t="s">
        <v>410</v>
      </c>
      <c r="C3" s="1" t="s">
        <v>411</v>
      </c>
      <c r="D3" s="70" t="s">
        <v>59</v>
      </c>
      <c r="E3" s="96">
        <v>44510</v>
      </c>
      <c r="F3" s="1" t="s">
        <v>60</v>
      </c>
      <c r="G3" s="96">
        <v>44512</v>
      </c>
      <c r="H3" s="1" t="s">
        <v>371</v>
      </c>
      <c r="I3" s="1">
        <v>61</v>
      </c>
      <c r="J3" s="1">
        <v>48</v>
      </c>
      <c r="K3" s="1">
        <v>55</v>
      </c>
      <c r="L3" s="1">
        <v>27</v>
      </c>
      <c r="M3" s="74">
        <v>40.26</v>
      </c>
      <c r="N3" s="90">
        <v>40.26</v>
      </c>
      <c r="O3" s="58">
        <v>7000</v>
      </c>
      <c r="P3" s="59">
        <f>Table2245789101123456789101112131415161718192021[[#This Row],[PEMBULATAN]]*O3</f>
        <v>281820</v>
      </c>
    </row>
    <row r="4" spans="1:16" ht="26.25" customHeight="1" x14ac:dyDescent="0.2">
      <c r="A4" s="101"/>
      <c r="B4" s="101"/>
      <c r="C4" s="1" t="s">
        <v>412</v>
      </c>
      <c r="D4" s="70" t="s">
        <v>59</v>
      </c>
      <c r="E4" s="96">
        <v>44510</v>
      </c>
      <c r="F4" s="1" t="s">
        <v>60</v>
      </c>
      <c r="G4" s="96">
        <v>44512</v>
      </c>
      <c r="H4" s="1" t="s">
        <v>371</v>
      </c>
      <c r="I4" s="1">
        <v>48</v>
      </c>
      <c r="J4" s="1">
        <v>36</v>
      </c>
      <c r="K4" s="1">
        <v>51</v>
      </c>
      <c r="L4" s="1">
        <v>20</v>
      </c>
      <c r="M4" s="74">
        <v>22.032</v>
      </c>
      <c r="N4" s="90">
        <v>22.032</v>
      </c>
      <c r="O4" s="58">
        <v>7000</v>
      </c>
      <c r="P4" s="59">
        <f>Table2245789101123456789101112131415161718192021[[#This Row],[PEMBULATAN]]*O4</f>
        <v>154224</v>
      </c>
    </row>
    <row r="5" spans="1:16" ht="26.25" customHeight="1" x14ac:dyDescent="0.2">
      <c r="A5" s="101"/>
      <c r="B5" s="101"/>
      <c r="C5" s="113" t="s">
        <v>413</v>
      </c>
      <c r="D5" s="70" t="s">
        <v>59</v>
      </c>
      <c r="E5" s="96">
        <v>44510</v>
      </c>
      <c r="F5" s="1" t="s">
        <v>60</v>
      </c>
      <c r="G5" s="96">
        <v>44512</v>
      </c>
      <c r="H5" s="1" t="s">
        <v>371</v>
      </c>
      <c r="I5" s="1">
        <v>67</v>
      </c>
      <c r="J5" s="1">
        <v>44</v>
      </c>
      <c r="K5" s="1">
        <v>22</v>
      </c>
      <c r="L5" s="1">
        <v>13</v>
      </c>
      <c r="M5" s="74">
        <v>16.213999999999999</v>
      </c>
      <c r="N5" s="90">
        <v>16.213999999999999</v>
      </c>
      <c r="O5" s="58">
        <v>7000</v>
      </c>
      <c r="P5" s="59">
        <f>Table2245789101123456789101112131415161718192021[[#This Row],[PEMBULATAN]]*O5</f>
        <v>113497.99999999999</v>
      </c>
    </row>
    <row r="6" spans="1:16" ht="26.25" customHeight="1" x14ac:dyDescent="0.2">
      <c r="A6" s="101"/>
      <c r="B6" s="101"/>
      <c r="C6" s="1" t="s">
        <v>414</v>
      </c>
      <c r="D6" s="70" t="s">
        <v>59</v>
      </c>
      <c r="E6" s="96">
        <v>44510</v>
      </c>
      <c r="F6" s="1" t="s">
        <v>60</v>
      </c>
      <c r="G6" s="96">
        <v>44512</v>
      </c>
      <c r="H6" s="1" t="s">
        <v>371</v>
      </c>
      <c r="I6" s="1">
        <v>51</v>
      </c>
      <c r="J6" s="1">
        <v>43</v>
      </c>
      <c r="K6" s="1">
        <v>44</v>
      </c>
      <c r="L6" s="1">
        <v>10</v>
      </c>
      <c r="M6" s="74">
        <v>24.123000000000001</v>
      </c>
      <c r="N6" s="90">
        <v>24.123000000000001</v>
      </c>
      <c r="O6" s="58">
        <v>7000</v>
      </c>
      <c r="P6" s="59">
        <f>Table2245789101123456789101112131415161718192021[[#This Row],[PEMBULATAN]]*O6</f>
        <v>168861</v>
      </c>
    </row>
    <row r="7" spans="1:16" ht="26.25" customHeight="1" x14ac:dyDescent="0.2">
      <c r="A7" s="101"/>
      <c r="B7" s="101"/>
      <c r="C7" s="1" t="s">
        <v>415</v>
      </c>
      <c r="D7" s="70" t="s">
        <v>59</v>
      </c>
      <c r="E7" s="96">
        <v>44510</v>
      </c>
      <c r="F7" s="1" t="s">
        <v>60</v>
      </c>
      <c r="G7" s="96">
        <v>44512</v>
      </c>
      <c r="H7" s="1" t="s">
        <v>371</v>
      </c>
      <c r="I7" s="1">
        <v>122</v>
      </c>
      <c r="J7" s="1">
        <v>36</v>
      </c>
      <c r="K7" s="1">
        <v>37</v>
      </c>
      <c r="L7" s="1">
        <v>27</v>
      </c>
      <c r="M7" s="74">
        <v>40.625999999999998</v>
      </c>
      <c r="N7" s="90">
        <v>40.625999999999998</v>
      </c>
      <c r="O7" s="58">
        <v>7000</v>
      </c>
      <c r="P7" s="59">
        <f>Table2245789101123456789101112131415161718192021[[#This Row],[PEMBULATAN]]*O7</f>
        <v>284382</v>
      </c>
    </row>
    <row r="8" spans="1:16" ht="26.25" customHeight="1" x14ac:dyDescent="0.2">
      <c r="A8" s="101"/>
      <c r="B8" s="101"/>
      <c r="C8" s="1" t="s">
        <v>416</v>
      </c>
      <c r="D8" s="70" t="s">
        <v>59</v>
      </c>
      <c r="E8" s="96">
        <v>44510</v>
      </c>
      <c r="F8" s="1" t="s">
        <v>60</v>
      </c>
      <c r="G8" s="96">
        <v>44512</v>
      </c>
      <c r="H8" s="1" t="s">
        <v>371</v>
      </c>
      <c r="I8" s="1">
        <v>36</v>
      </c>
      <c r="J8" s="1">
        <v>28</v>
      </c>
      <c r="K8" s="1">
        <v>26</v>
      </c>
      <c r="L8" s="1">
        <v>6</v>
      </c>
      <c r="M8" s="74">
        <v>6.5519999999999996</v>
      </c>
      <c r="N8" s="90">
        <v>6.5519999999999996</v>
      </c>
      <c r="O8" s="58">
        <v>7000</v>
      </c>
      <c r="P8" s="59">
        <f>Table2245789101123456789101112131415161718192021[[#This Row],[PEMBULATAN]]*O8</f>
        <v>45864</v>
      </c>
    </row>
    <row r="9" spans="1:16" ht="26.25" customHeight="1" x14ac:dyDescent="0.2">
      <c r="A9" s="101"/>
      <c r="B9" s="101"/>
      <c r="C9" s="1" t="s">
        <v>417</v>
      </c>
      <c r="D9" s="70" t="s">
        <v>59</v>
      </c>
      <c r="E9" s="96">
        <v>44510</v>
      </c>
      <c r="F9" s="1" t="s">
        <v>60</v>
      </c>
      <c r="G9" s="96">
        <v>44512</v>
      </c>
      <c r="H9" s="1" t="s">
        <v>371</v>
      </c>
      <c r="I9" s="1">
        <v>44</v>
      </c>
      <c r="J9" s="1">
        <v>44</v>
      </c>
      <c r="K9" s="1">
        <v>26</v>
      </c>
      <c r="L9" s="1">
        <v>6</v>
      </c>
      <c r="M9" s="74">
        <v>12.584</v>
      </c>
      <c r="N9" s="90">
        <v>12.584</v>
      </c>
      <c r="O9" s="58">
        <v>7000</v>
      </c>
      <c r="P9" s="59">
        <f>Table2245789101123456789101112131415161718192021[[#This Row],[PEMBULATAN]]*O9</f>
        <v>88088</v>
      </c>
    </row>
    <row r="10" spans="1:16" ht="26.25" customHeight="1" x14ac:dyDescent="0.2">
      <c r="A10" s="101"/>
      <c r="B10" s="101"/>
      <c r="C10" s="1" t="s">
        <v>418</v>
      </c>
      <c r="D10" s="70" t="s">
        <v>59</v>
      </c>
      <c r="E10" s="96">
        <v>44510</v>
      </c>
      <c r="F10" s="1" t="s">
        <v>60</v>
      </c>
      <c r="G10" s="96">
        <v>44512</v>
      </c>
      <c r="H10" s="1" t="s">
        <v>371</v>
      </c>
      <c r="I10" s="1">
        <v>41</v>
      </c>
      <c r="J10" s="1">
        <v>28</v>
      </c>
      <c r="K10" s="1">
        <v>26</v>
      </c>
      <c r="L10" s="1">
        <v>5</v>
      </c>
      <c r="M10" s="74">
        <v>7.4619999999999997</v>
      </c>
      <c r="N10" s="90">
        <v>8</v>
      </c>
      <c r="O10" s="58">
        <v>7000</v>
      </c>
      <c r="P10" s="59">
        <f>Table2245789101123456789101112131415161718192021[[#This Row],[PEMBULATAN]]*O10</f>
        <v>56000</v>
      </c>
    </row>
    <row r="11" spans="1:16" ht="26.25" customHeight="1" x14ac:dyDescent="0.2">
      <c r="A11" s="101"/>
      <c r="B11" s="101"/>
      <c r="C11" s="1" t="s">
        <v>419</v>
      </c>
      <c r="D11" s="70" t="s">
        <v>59</v>
      </c>
      <c r="E11" s="96">
        <v>44510</v>
      </c>
      <c r="F11" s="1" t="s">
        <v>60</v>
      </c>
      <c r="G11" s="96">
        <v>44512</v>
      </c>
      <c r="H11" s="1" t="s">
        <v>371</v>
      </c>
      <c r="I11" s="1">
        <v>52</v>
      </c>
      <c r="J11" s="1">
        <v>44</v>
      </c>
      <c r="K11" s="1">
        <v>22</v>
      </c>
      <c r="L11" s="1">
        <v>12</v>
      </c>
      <c r="M11" s="74">
        <v>12.584</v>
      </c>
      <c r="N11" s="90">
        <v>12.584</v>
      </c>
      <c r="O11" s="58">
        <v>7000</v>
      </c>
      <c r="P11" s="59">
        <f>Table2245789101123456789101112131415161718192021[[#This Row],[PEMBULATAN]]*O11</f>
        <v>88088</v>
      </c>
    </row>
    <row r="12" spans="1:16" ht="26.25" customHeight="1" x14ac:dyDescent="0.2">
      <c r="A12" s="101"/>
      <c r="B12" s="101"/>
      <c r="C12" s="1" t="s">
        <v>420</v>
      </c>
      <c r="D12" s="70" t="s">
        <v>59</v>
      </c>
      <c r="E12" s="96">
        <v>44510</v>
      </c>
      <c r="F12" s="1" t="s">
        <v>60</v>
      </c>
      <c r="G12" s="96">
        <v>44512</v>
      </c>
      <c r="H12" s="1" t="s">
        <v>371</v>
      </c>
      <c r="I12" s="1">
        <v>63</v>
      </c>
      <c r="J12" s="1">
        <v>36</v>
      </c>
      <c r="K12" s="1">
        <v>20</v>
      </c>
      <c r="L12" s="1">
        <v>9</v>
      </c>
      <c r="M12" s="74">
        <v>11.34</v>
      </c>
      <c r="N12" s="90">
        <v>12</v>
      </c>
      <c r="O12" s="58">
        <v>7000</v>
      </c>
      <c r="P12" s="59">
        <f>Table2245789101123456789101112131415161718192021[[#This Row],[PEMBULATAN]]*O12</f>
        <v>84000</v>
      </c>
    </row>
    <row r="13" spans="1:16" ht="26.25" customHeight="1" x14ac:dyDescent="0.2">
      <c r="A13" s="101"/>
      <c r="B13" s="101"/>
      <c r="C13" s="1" t="s">
        <v>421</v>
      </c>
      <c r="D13" s="70" t="s">
        <v>59</v>
      </c>
      <c r="E13" s="96">
        <v>44510</v>
      </c>
      <c r="F13" s="1" t="s">
        <v>60</v>
      </c>
      <c r="G13" s="96">
        <v>44512</v>
      </c>
      <c r="H13" s="1" t="s">
        <v>371</v>
      </c>
      <c r="I13" s="1">
        <v>51</v>
      </c>
      <c r="J13" s="1">
        <v>36</v>
      </c>
      <c r="K13" s="1">
        <v>30</v>
      </c>
      <c r="L13" s="1">
        <v>7</v>
      </c>
      <c r="M13" s="74">
        <v>13.77</v>
      </c>
      <c r="N13" s="90">
        <v>13.77</v>
      </c>
      <c r="O13" s="58">
        <v>7000</v>
      </c>
      <c r="P13" s="59">
        <f>Table2245789101123456789101112131415161718192021[[#This Row],[PEMBULATAN]]*O13</f>
        <v>96390</v>
      </c>
    </row>
    <row r="14" spans="1:16" ht="26.25" customHeight="1" x14ac:dyDescent="0.2">
      <c r="A14" s="101"/>
      <c r="B14" s="101"/>
      <c r="C14" s="1" t="s">
        <v>422</v>
      </c>
      <c r="D14" s="70" t="s">
        <v>59</v>
      </c>
      <c r="E14" s="96">
        <v>44510</v>
      </c>
      <c r="F14" s="1" t="s">
        <v>60</v>
      </c>
      <c r="G14" s="96">
        <v>44512</v>
      </c>
      <c r="H14" s="1" t="s">
        <v>371</v>
      </c>
      <c r="I14" s="1">
        <v>64</v>
      </c>
      <c r="J14" s="1">
        <v>39</v>
      </c>
      <c r="K14" s="1">
        <v>21</v>
      </c>
      <c r="L14" s="1">
        <v>7</v>
      </c>
      <c r="M14" s="74">
        <v>13.103999999999999</v>
      </c>
      <c r="N14" s="90">
        <v>13.103999999999999</v>
      </c>
      <c r="O14" s="58">
        <v>7000</v>
      </c>
      <c r="P14" s="59">
        <f>Table2245789101123456789101112131415161718192021[[#This Row],[PEMBULATAN]]*O14</f>
        <v>91728</v>
      </c>
    </row>
    <row r="15" spans="1:16" ht="26.25" customHeight="1" x14ac:dyDescent="0.2">
      <c r="A15" s="101"/>
      <c r="B15" s="101"/>
      <c r="C15" s="1" t="s">
        <v>423</v>
      </c>
      <c r="D15" s="70" t="s">
        <v>59</v>
      </c>
      <c r="E15" s="96">
        <v>44510</v>
      </c>
      <c r="F15" s="1" t="s">
        <v>60</v>
      </c>
      <c r="G15" s="96">
        <v>44512</v>
      </c>
      <c r="H15" s="1" t="s">
        <v>371</v>
      </c>
      <c r="I15" s="1">
        <v>145</v>
      </c>
      <c r="J15" s="1">
        <v>40</v>
      </c>
      <c r="K15" s="1">
        <v>12</v>
      </c>
      <c r="L15" s="1">
        <v>14</v>
      </c>
      <c r="M15" s="74">
        <v>17.399999999999999</v>
      </c>
      <c r="N15" s="90">
        <v>18</v>
      </c>
      <c r="O15" s="58">
        <v>7000</v>
      </c>
      <c r="P15" s="59">
        <f>Table2245789101123456789101112131415161718192021[[#This Row],[PEMBULATAN]]*O15</f>
        <v>126000</v>
      </c>
    </row>
    <row r="16" spans="1:16" ht="26.25" customHeight="1" x14ac:dyDescent="0.2">
      <c r="A16" s="101"/>
      <c r="B16" s="101"/>
      <c r="C16" s="1" t="s">
        <v>424</v>
      </c>
      <c r="D16" s="70" t="s">
        <v>59</v>
      </c>
      <c r="E16" s="96">
        <v>44510</v>
      </c>
      <c r="F16" s="1" t="s">
        <v>60</v>
      </c>
      <c r="G16" s="96">
        <v>44512</v>
      </c>
      <c r="H16" s="1" t="s">
        <v>371</v>
      </c>
      <c r="I16" s="1">
        <v>62</v>
      </c>
      <c r="J16" s="1">
        <v>28</v>
      </c>
      <c r="K16" s="1">
        <v>21</v>
      </c>
      <c r="L16" s="1">
        <v>7</v>
      </c>
      <c r="M16" s="74">
        <v>9.1140000000000008</v>
      </c>
      <c r="N16" s="90">
        <v>9.1140000000000008</v>
      </c>
      <c r="O16" s="58">
        <v>7000</v>
      </c>
      <c r="P16" s="59">
        <f>Table2245789101123456789101112131415161718192021[[#This Row],[PEMBULATAN]]*O16</f>
        <v>63798.000000000007</v>
      </c>
    </row>
    <row r="17" spans="1:16" ht="26.25" customHeight="1" x14ac:dyDescent="0.2">
      <c r="A17" s="101"/>
      <c r="B17" s="101"/>
      <c r="C17" s="1" t="s">
        <v>425</v>
      </c>
      <c r="D17" s="70" t="s">
        <v>59</v>
      </c>
      <c r="E17" s="96">
        <v>44510</v>
      </c>
      <c r="F17" s="1" t="s">
        <v>60</v>
      </c>
      <c r="G17" s="96">
        <v>44512</v>
      </c>
      <c r="H17" s="1" t="s">
        <v>371</v>
      </c>
      <c r="I17" s="1">
        <v>40</v>
      </c>
      <c r="J17" s="1">
        <v>31</v>
      </c>
      <c r="K17" s="1">
        <v>18</v>
      </c>
      <c r="L17" s="1">
        <v>4</v>
      </c>
      <c r="M17" s="74">
        <v>5.58</v>
      </c>
      <c r="N17" s="90">
        <v>5.58</v>
      </c>
      <c r="O17" s="58">
        <v>7000</v>
      </c>
      <c r="P17" s="59">
        <f>Table2245789101123456789101112131415161718192021[[#This Row],[PEMBULATAN]]*O17</f>
        <v>39060</v>
      </c>
    </row>
    <row r="18" spans="1:16" ht="26.25" customHeight="1" x14ac:dyDescent="0.2">
      <c r="A18" s="101"/>
      <c r="B18" s="101"/>
      <c r="C18" s="1" t="s">
        <v>426</v>
      </c>
      <c r="D18" s="70" t="s">
        <v>59</v>
      </c>
      <c r="E18" s="96">
        <v>44510</v>
      </c>
      <c r="F18" s="1" t="s">
        <v>60</v>
      </c>
      <c r="G18" s="96">
        <v>44512</v>
      </c>
      <c r="H18" s="1" t="s">
        <v>371</v>
      </c>
      <c r="I18" s="1">
        <v>86</v>
      </c>
      <c r="J18" s="1">
        <v>52</v>
      </c>
      <c r="K18" s="1">
        <v>16</v>
      </c>
      <c r="L18" s="1">
        <v>12</v>
      </c>
      <c r="M18" s="74">
        <v>17.888000000000002</v>
      </c>
      <c r="N18" s="90">
        <v>17.888000000000002</v>
      </c>
      <c r="O18" s="58">
        <v>7000</v>
      </c>
      <c r="P18" s="59">
        <f>Table2245789101123456789101112131415161718192021[[#This Row],[PEMBULATAN]]*O18</f>
        <v>125216.00000000001</v>
      </c>
    </row>
    <row r="19" spans="1:16" ht="26.25" customHeight="1" x14ac:dyDescent="0.2">
      <c r="A19" s="101"/>
      <c r="B19" s="102"/>
      <c r="C19" s="1" t="s">
        <v>427</v>
      </c>
      <c r="D19" s="70" t="s">
        <v>59</v>
      </c>
      <c r="E19" s="96">
        <v>44510</v>
      </c>
      <c r="F19" s="1" t="s">
        <v>60</v>
      </c>
      <c r="G19" s="96">
        <v>44512</v>
      </c>
      <c r="H19" s="1" t="s">
        <v>371</v>
      </c>
      <c r="I19" s="1">
        <v>95</v>
      </c>
      <c r="J19" s="1">
        <v>68</v>
      </c>
      <c r="K19" s="1">
        <v>31</v>
      </c>
      <c r="L19" s="1">
        <v>21</v>
      </c>
      <c r="M19" s="74">
        <v>50.064999999999998</v>
      </c>
      <c r="N19" s="90">
        <v>50.064999999999998</v>
      </c>
      <c r="O19" s="58">
        <v>7000</v>
      </c>
      <c r="P19" s="59">
        <f>Table2245789101123456789101112131415161718192021[[#This Row],[PEMBULATAN]]*O19</f>
        <v>350455</v>
      </c>
    </row>
    <row r="20" spans="1:16" ht="26.25" customHeight="1" x14ac:dyDescent="0.2">
      <c r="A20" s="101"/>
      <c r="B20" s="100" t="s">
        <v>428</v>
      </c>
      <c r="C20" s="113" t="s">
        <v>429</v>
      </c>
      <c r="D20" s="70" t="s">
        <v>59</v>
      </c>
      <c r="E20" s="96">
        <v>44510</v>
      </c>
      <c r="F20" s="1" t="s">
        <v>60</v>
      </c>
      <c r="G20" s="96">
        <v>44512</v>
      </c>
      <c r="H20" s="1" t="s">
        <v>371</v>
      </c>
      <c r="I20" s="1">
        <v>56</v>
      </c>
      <c r="J20" s="1">
        <v>47</v>
      </c>
      <c r="K20" s="1">
        <v>18</v>
      </c>
      <c r="L20" s="1">
        <v>21</v>
      </c>
      <c r="M20" s="74">
        <v>11.843999999999999</v>
      </c>
      <c r="N20" s="90">
        <v>21</v>
      </c>
      <c r="O20" s="58">
        <v>7000</v>
      </c>
      <c r="P20" s="59">
        <f>Table2245789101123456789101112131415161718192021[[#This Row],[PEMBULATAN]]*O20</f>
        <v>147000</v>
      </c>
    </row>
    <row r="21" spans="1:16" ht="26.25" customHeight="1" x14ac:dyDescent="0.2">
      <c r="A21" s="101"/>
      <c r="B21" s="102"/>
      <c r="C21" s="1" t="s">
        <v>430</v>
      </c>
      <c r="D21" s="70" t="s">
        <v>59</v>
      </c>
      <c r="E21" s="96">
        <v>44510</v>
      </c>
      <c r="F21" s="1" t="s">
        <v>60</v>
      </c>
      <c r="G21" s="96">
        <v>44512</v>
      </c>
      <c r="H21" s="1" t="s">
        <v>371</v>
      </c>
      <c r="I21" s="1">
        <v>54</v>
      </c>
      <c r="J21" s="1">
        <v>43</v>
      </c>
      <c r="K21" s="1">
        <v>22</v>
      </c>
      <c r="L21" s="1">
        <v>5</v>
      </c>
      <c r="M21" s="74">
        <v>12.771000000000001</v>
      </c>
      <c r="N21" s="90">
        <v>12.771000000000001</v>
      </c>
      <c r="O21" s="58">
        <v>7000</v>
      </c>
      <c r="P21" s="59">
        <f>Table2245789101123456789101112131415161718192021[[#This Row],[PEMBULATAN]]*O21</f>
        <v>89397</v>
      </c>
    </row>
    <row r="22" spans="1:16" ht="26.25" customHeight="1" x14ac:dyDescent="0.2">
      <c r="A22" s="102"/>
      <c r="B22" s="102" t="s">
        <v>431</v>
      </c>
      <c r="C22" s="1" t="s">
        <v>432</v>
      </c>
      <c r="D22" s="70" t="s">
        <v>59</v>
      </c>
      <c r="E22" s="96">
        <v>44510</v>
      </c>
      <c r="F22" s="1" t="s">
        <v>60</v>
      </c>
      <c r="G22" s="96">
        <v>44512</v>
      </c>
      <c r="H22" s="1" t="s">
        <v>371</v>
      </c>
      <c r="I22" s="1">
        <v>55</v>
      </c>
      <c r="J22" s="1">
        <v>41</v>
      </c>
      <c r="K22" s="1">
        <v>71</v>
      </c>
      <c r="L22" s="1">
        <v>8</v>
      </c>
      <c r="M22" s="74">
        <v>40.026249999999997</v>
      </c>
      <c r="N22" s="90">
        <v>40.026249999999997</v>
      </c>
      <c r="O22" s="58">
        <v>7000</v>
      </c>
      <c r="P22" s="59">
        <f>Table2245789101123456789101112131415161718192021[[#This Row],[PEMBULATAN]]*O22</f>
        <v>280183.75</v>
      </c>
    </row>
    <row r="23" spans="1:16" ht="22.5" customHeight="1" x14ac:dyDescent="0.2">
      <c r="A23" s="145" t="s">
        <v>30</v>
      </c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47"/>
      <c r="M23" s="73">
        <f>SUBTOTAL(109,Table2245789101123456789101112131415161718192021[KG VOLUME])</f>
        <v>385.33925000000005</v>
      </c>
      <c r="N23" s="62">
        <f>SUM(N3:N22)</f>
        <v>396.29325</v>
      </c>
      <c r="O23" s="148">
        <f>SUM(P3:P22)</f>
        <v>2774052.75</v>
      </c>
      <c r="P23" s="149"/>
    </row>
    <row r="24" spans="1:16" ht="18" customHeight="1" x14ac:dyDescent="0.2">
      <c r="A24" s="80"/>
      <c r="B24" s="50" t="s">
        <v>42</v>
      </c>
      <c r="C24" s="49"/>
      <c r="D24" s="51" t="s">
        <v>43</v>
      </c>
      <c r="E24" s="80"/>
      <c r="F24" s="80"/>
      <c r="G24" s="80"/>
      <c r="H24" s="80"/>
      <c r="I24" s="80"/>
      <c r="J24" s="80"/>
      <c r="K24" s="80"/>
      <c r="L24" s="80"/>
      <c r="M24" s="81"/>
      <c r="N24" s="82" t="s">
        <v>52</v>
      </c>
      <c r="O24" s="83"/>
      <c r="P24" s="83">
        <v>0</v>
      </c>
    </row>
    <row r="25" spans="1:16" ht="18" customHeight="1" thickBot="1" x14ac:dyDescent="0.25">
      <c r="A25" s="80"/>
      <c r="B25" s="50"/>
      <c r="C25" s="49"/>
      <c r="D25" s="51"/>
      <c r="E25" s="80"/>
      <c r="F25" s="80"/>
      <c r="G25" s="80"/>
      <c r="H25" s="80"/>
      <c r="I25" s="80"/>
      <c r="J25" s="80"/>
      <c r="K25" s="80"/>
      <c r="L25" s="80"/>
      <c r="M25" s="81"/>
      <c r="N25" s="84" t="s">
        <v>53</v>
      </c>
      <c r="O25" s="85"/>
      <c r="P25" s="85">
        <f>O23-P24</f>
        <v>2774052.75</v>
      </c>
    </row>
    <row r="26" spans="1:16" ht="18" customHeight="1" x14ac:dyDescent="0.2">
      <c r="A26" s="11"/>
      <c r="H26" s="57"/>
      <c r="N26" s="56" t="s">
        <v>31</v>
      </c>
      <c r="P26" s="63">
        <f>P25*1%</f>
        <v>27740.5275</v>
      </c>
    </row>
    <row r="27" spans="1:16" ht="18" customHeight="1" thickBot="1" x14ac:dyDescent="0.25">
      <c r="A27" s="11"/>
      <c r="H27" s="57"/>
      <c r="N27" s="56" t="s">
        <v>54</v>
      </c>
      <c r="P27" s="65">
        <f>P25*2%</f>
        <v>55481.055</v>
      </c>
    </row>
    <row r="28" spans="1:16" ht="18" customHeight="1" x14ac:dyDescent="0.2">
      <c r="A28" s="11"/>
      <c r="H28" s="57"/>
      <c r="N28" s="60" t="s">
        <v>32</v>
      </c>
      <c r="O28" s="61"/>
      <c r="P28" s="64">
        <f>P25+P26-P27</f>
        <v>2746312.2224999997</v>
      </c>
    </row>
    <row r="30" spans="1:16" x14ac:dyDescent="0.2">
      <c r="A30" s="11"/>
      <c r="H30" s="57"/>
      <c r="P30" s="65"/>
    </row>
    <row r="31" spans="1:16" x14ac:dyDescent="0.2">
      <c r="A31" s="11"/>
      <c r="H31" s="57"/>
      <c r="O31" s="52"/>
      <c r="P31" s="65"/>
    </row>
    <row r="32" spans="1:16" s="3" customFormat="1" x14ac:dyDescent="0.25">
      <c r="A32" s="11"/>
      <c r="B32" s="2"/>
      <c r="C32" s="2"/>
      <c r="E32" s="12"/>
      <c r="H32" s="57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57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57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57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57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57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57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57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57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57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57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57"/>
      <c r="N43" s="15"/>
      <c r="O43" s="15"/>
      <c r="P43" s="15"/>
    </row>
  </sheetData>
  <mergeCells count="2">
    <mergeCell ref="A23:L23"/>
    <mergeCell ref="O23:P23"/>
  </mergeCells>
  <conditionalFormatting sqref="C3:C19">
    <cfRule type="duplicateValues" dxfId="365" priority="3"/>
  </conditionalFormatting>
  <conditionalFormatting sqref="C21">
    <cfRule type="duplicateValues" dxfId="364" priority="2"/>
  </conditionalFormatting>
  <hyperlinks>
    <hyperlink ref="C5" r:id="rId1" display="https://www.sicepat.com/"/>
    <hyperlink ref="C20" r:id="rId2" display="https://www.sicepat.com/"/>
  </hyperlinks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3"/>
  <tableParts count="1">
    <tablePart r:id="rId4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4" sqref="H14"/>
    </sheetView>
  </sheetViews>
  <sheetFormatPr defaultRowHeight="15" x14ac:dyDescent="0.2"/>
  <cols>
    <col min="1" max="1" width="8" style="4" customWidth="1"/>
    <col min="2" max="2" width="20" style="2" customWidth="1"/>
    <col min="3" max="3" width="14.5703125" style="2" customWidth="1"/>
    <col min="4" max="4" width="10.140625" style="3" customWidth="1"/>
    <col min="5" max="5" width="9.7109375" style="12" customWidth="1"/>
    <col min="6" max="6" width="17" style="3" customWidth="1"/>
    <col min="7" max="7" width="9" style="3" customWidth="1"/>
    <col min="8" max="8" width="15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92">
        <v>404022</v>
      </c>
      <c r="B3" s="92" t="s">
        <v>434</v>
      </c>
      <c r="C3" s="92" t="s">
        <v>433</v>
      </c>
      <c r="D3" s="106" t="s">
        <v>59</v>
      </c>
      <c r="E3" s="93">
        <v>44511</v>
      </c>
      <c r="F3" s="92" t="s">
        <v>60</v>
      </c>
      <c r="G3" s="93">
        <v>44512</v>
      </c>
      <c r="H3" s="92" t="s">
        <v>371</v>
      </c>
      <c r="I3" s="92">
        <v>60</v>
      </c>
      <c r="J3" s="92">
        <v>48</v>
      </c>
      <c r="K3" s="92">
        <v>12</v>
      </c>
      <c r="L3" s="92">
        <v>7</v>
      </c>
      <c r="M3" s="94">
        <v>8.64</v>
      </c>
      <c r="N3" s="109">
        <v>8.64</v>
      </c>
      <c r="O3" s="58">
        <v>7000</v>
      </c>
      <c r="P3" s="59">
        <f>Table224578910112345678910111213141516171819202122[[#This Row],[PEMBULATAN]]*O3</f>
        <v>60480.000000000007</v>
      </c>
    </row>
    <row r="4" spans="1:16" ht="22.5" customHeight="1" x14ac:dyDescent="0.2">
      <c r="A4" s="145" t="s">
        <v>30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7"/>
      <c r="M4" s="73">
        <f>SUBTOTAL(109,Table224578910112345678910111213141516171819202122[KG VOLUME])</f>
        <v>8.64</v>
      </c>
      <c r="N4" s="62">
        <f>SUM(N3:N3)</f>
        <v>8.64</v>
      </c>
      <c r="O4" s="148">
        <f>SUM(P3:P3)</f>
        <v>60480.000000000007</v>
      </c>
      <c r="P4" s="149"/>
    </row>
    <row r="5" spans="1:16" ht="18" customHeight="1" x14ac:dyDescent="0.2">
      <c r="A5" s="80"/>
      <c r="B5" s="50" t="s">
        <v>42</v>
      </c>
      <c r="C5" s="49"/>
      <c r="D5" s="51" t="s">
        <v>43</v>
      </c>
      <c r="E5" s="80"/>
      <c r="F5" s="80"/>
      <c r="G5" s="80"/>
      <c r="H5" s="80"/>
      <c r="I5" s="80"/>
      <c r="J5" s="80"/>
      <c r="K5" s="80"/>
      <c r="L5" s="80"/>
      <c r="M5" s="81"/>
      <c r="N5" s="82" t="s">
        <v>52</v>
      </c>
      <c r="O5" s="83"/>
      <c r="P5" s="83">
        <v>0</v>
      </c>
    </row>
    <row r="6" spans="1:16" ht="18" customHeight="1" thickBot="1" x14ac:dyDescent="0.25">
      <c r="A6" s="80"/>
      <c r="B6" s="50"/>
      <c r="C6" s="49"/>
      <c r="D6" s="51"/>
      <c r="E6" s="80"/>
      <c r="F6" s="80"/>
      <c r="G6" s="80"/>
      <c r="H6" s="80"/>
      <c r="I6" s="80"/>
      <c r="J6" s="80"/>
      <c r="K6" s="80"/>
      <c r="L6" s="80"/>
      <c r="M6" s="81"/>
      <c r="N6" s="84" t="s">
        <v>53</v>
      </c>
      <c r="O6" s="85"/>
      <c r="P6" s="85">
        <f>O4-P5</f>
        <v>60480.000000000007</v>
      </c>
    </row>
    <row r="7" spans="1:16" ht="18" customHeight="1" x14ac:dyDescent="0.2">
      <c r="A7" s="11"/>
      <c r="H7" s="57"/>
      <c r="N7" s="56" t="s">
        <v>31</v>
      </c>
      <c r="P7" s="63">
        <f>P6*1%</f>
        <v>604.80000000000007</v>
      </c>
    </row>
    <row r="8" spans="1:16" ht="18" customHeight="1" thickBot="1" x14ac:dyDescent="0.25">
      <c r="A8" s="11"/>
      <c r="H8" s="57"/>
      <c r="N8" s="56" t="s">
        <v>54</v>
      </c>
      <c r="P8" s="65">
        <f>P6*2%</f>
        <v>1209.6000000000001</v>
      </c>
    </row>
    <row r="9" spans="1:16" ht="18" customHeight="1" x14ac:dyDescent="0.2">
      <c r="A9" s="11"/>
      <c r="H9" s="57"/>
      <c r="N9" s="60" t="s">
        <v>32</v>
      </c>
      <c r="O9" s="61"/>
      <c r="P9" s="64">
        <f>P6+P7-P8</f>
        <v>59875.200000000012</v>
      </c>
    </row>
    <row r="11" spans="1:16" x14ac:dyDescent="0.2">
      <c r="A11" s="11"/>
      <c r="H11" s="57"/>
      <c r="P11" s="65"/>
    </row>
    <row r="12" spans="1:16" x14ac:dyDescent="0.2">
      <c r="A12" s="11"/>
      <c r="H12" s="57"/>
      <c r="O12" s="52"/>
      <c r="P12" s="65"/>
    </row>
    <row r="13" spans="1:16" s="3" customFormat="1" x14ac:dyDescent="0.25">
      <c r="A13" s="11"/>
      <c r="B13" s="2"/>
      <c r="C13" s="2"/>
      <c r="E13" s="12"/>
      <c r="H13" s="57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57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57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57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57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57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57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7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7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7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7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7"/>
      <c r="N24" s="15"/>
      <c r="O24" s="15"/>
      <c r="P24" s="15"/>
    </row>
  </sheetData>
  <mergeCells count="2">
    <mergeCell ref="A4:L4"/>
    <mergeCell ref="O4:P4"/>
  </mergeCells>
  <conditionalFormatting sqref="C3">
    <cfRule type="duplicateValues" dxfId="348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9"/>
  <sheetViews>
    <sheetView zoomScale="110" zoomScaleNormal="110" workbookViewId="0">
      <pane xSplit="3" ySplit="2" topLeftCell="D27" activePane="bottomRight" state="frozen"/>
      <selection pane="topRight" activeCell="B1" sqref="B1"/>
      <selection pane="bottomLeft" activeCell="A3" sqref="A3"/>
      <selection pane="bottomRight" activeCell="G36" sqref="G36"/>
    </sheetView>
  </sheetViews>
  <sheetFormatPr defaultRowHeight="15" x14ac:dyDescent="0.2"/>
  <cols>
    <col min="1" max="1" width="8" style="4" customWidth="1"/>
    <col min="2" max="2" width="19.5703125" style="2" customWidth="1"/>
    <col min="3" max="3" width="15.140625" style="2" customWidth="1"/>
    <col min="4" max="4" width="10.28515625" style="3" customWidth="1"/>
    <col min="5" max="5" width="9.7109375" style="12" customWidth="1"/>
    <col min="6" max="6" width="16.28515625" style="3" customWidth="1"/>
    <col min="7" max="7" width="9.5703125" style="3" customWidth="1"/>
    <col min="8" max="8" width="15.855468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8.5" customHeight="1" x14ac:dyDescent="0.2">
      <c r="A3" s="103">
        <v>403854</v>
      </c>
      <c r="B3" s="103" t="s">
        <v>435</v>
      </c>
      <c r="C3" s="92" t="s">
        <v>436</v>
      </c>
      <c r="D3" s="106" t="s">
        <v>59</v>
      </c>
      <c r="E3" s="93">
        <v>44511</v>
      </c>
      <c r="F3" s="92" t="s">
        <v>60</v>
      </c>
      <c r="G3" s="93">
        <v>44512</v>
      </c>
      <c r="H3" s="92" t="s">
        <v>371</v>
      </c>
      <c r="I3" s="92">
        <v>87</v>
      </c>
      <c r="J3" s="92">
        <v>32</v>
      </c>
      <c r="K3" s="92">
        <v>35</v>
      </c>
      <c r="L3" s="92">
        <v>24</v>
      </c>
      <c r="M3" s="94">
        <v>24.36</v>
      </c>
      <c r="N3" s="109">
        <v>25</v>
      </c>
      <c r="O3" s="58">
        <v>7000</v>
      </c>
      <c r="P3" s="59">
        <f>Table22457891011234567891011121314151617181920212223[[#This Row],[PEMBULATAN]]*O3</f>
        <v>175000</v>
      </c>
    </row>
    <row r="4" spans="1:16" ht="28.5" customHeight="1" x14ac:dyDescent="0.2">
      <c r="A4" s="104"/>
      <c r="B4" s="104"/>
      <c r="C4" s="92" t="s">
        <v>437</v>
      </c>
      <c r="D4" s="106" t="s">
        <v>59</v>
      </c>
      <c r="E4" s="93">
        <v>44511</v>
      </c>
      <c r="F4" s="92" t="s">
        <v>60</v>
      </c>
      <c r="G4" s="93">
        <v>44512</v>
      </c>
      <c r="H4" s="92" t="s">
        <v>371</v>
      </c>
      <c r="I4" s="92">
        <v>70</v>
      </c>
      <c r="J4" s="92">
        <v>37</v>
      </c>
      <c r="K4" s="92">
        <v>38</v>
      </c>
      <c r="L4" s="92">
        <v>12</v>
      </c>
      <c r="M4" s="94">
        <v>24.605</v>
      </c>
      <c r="N4" s="109">
        <v>24.605</v>
      </c>
      <c r="O4" s="58">
        <v>7000</v>
      </c>
      <c r="P4" s="59">
        <f>Table22457891011234567891011121314151617181920212223[[#This Row],[PEMBULATAN]]*O4</f>
        <v>172235</v>
      </c>
    </row>
    <row r="5" spans="1:16" ht="28.5" customHeight="1" x14ac:dyDescent="0.2">
      <c r="A5" s="104"/>
      <c r="B5" s="104"/>
      <c r="C5" s="92" t="s">
        <v>438</v>
      </c>
      <c r="D5" s="106" t="s">
        <v>59</v>
      </c>
      <c r="E5" s="93">
        <v>44511</v>
      </c>
      <c r="F5" s="92" t="s">
        <v>60</v>
      </c>
      <c r="G5" s="93">
        <v>44512</v>
      </c>
      <c r="H5" s="92" t="s">
        <v>371</v>
      </c>
      <c r="I5" s="92">
        <v>56</v>
      </c>
      <c r="J5" s="92">
        <v>40</v>
      </c>
      <c r="K5" s="92">
        <v>23</v>
      </c>
      <c r="L5" s="92">
        <v>18</v>
      </c>
      <c r="M5" s="94">
        <v>12.88</v>
      </c>
      <c r="N5" s="109">
        <v>18</v>
      </c>
      <c r="O5" s="58">
        <v>7000</v>
      </c>
      <c r="P5" s="59">
        <f>Table22457891011234567891011121314151617181920212223[[#This Row],[PEMBULATAN]]*O5</f>
        <v>126000</v>
      </c>
    </row>
    <row r="6" spans="1:16" ht="28.5" customHeight="1" x14ac:dyDescent="0.2">
      <c r="A6" s="104"/>
      <c r="B6" s="104"/>
      <c r="C6" s="92" t="s">
        <v>439</v>
      </c>
      <c r="D6" s="106" t="s">
        <v>59</v>
      </c>
      <c r="E6" s="93">
        <v>44511</v>
      </c>
      <c r="F6" s="92" t="s">
        <v>60</v>
      </c>
      <c r="G6" s="93">
        <v>44512</v>
      </c>
      <c r="H6" s="92" t="s">
        <v>371</v>
      </c>
      <c r="I6" s="92">
        <v>26</v>
      </c>
      <c r="J6" s="92">
        <v>12</v>
      </c>
      <c r="K6" s="92">
        <v>18</v>
      </c>
      <c r="L6" s="92">
        <v>24</v>
      </c>
      <c r="M6" s="94">
        <v>1.4039999999999999</v>
      </c>
      <c r="N6" s="109">
        <v>24</v>
      </c>
      <c r="O6" s="58">
        <v>7000</v>
      </c>
      <c r="P6" s="59">
        <f>Table22457891011234567891011121314151617181920212223[[#This Row],[PEMBULATAN]]*O6</f>
        <v>168000</v>
      </c>
    </row>
    <row r="7" spans="1:16" ht="28.5" customHeight="1" x14ac:dyDescent="0.2">
      <c r="A7" s="104"/>
      <c r="B7" s="104"/>
      <c r="C7" s="92" t="s">
        <v>440</v>
      </c>
      <c r="D7" s="106" t="s">
        <v>59</v>
      </c>
      <c r="E7" s="93">
        <v>44511</v>
      </c>
      <c r="F7" s="92" t="s">
        <v>60</v>
      </c>
      <c r="G7" s="93">
        <v>44512</v>
      </c>
      <c r="H7" s="92" t="s">
        <v>371</v>
      </c>
      <c r="I7" s="92">
        <v>26</v>
      </c>
      <c r="J7" s="92">
        <v>12</v>
      </c>
      <c r="K7" s="92">
        <v>18</v>
      </c>
      <c r="L7" s="92">
        <v>28</v>
      </c>
      <c r="M7" s="94">
        <v>1.4039999999999999</v>
      </c>
      <c r="N7" s="109">
        <v>28</v>
      </c>
      <c r="O7" s="58">
        <v>7000</v>
      </c>
      <c r="P7" s="59">
        <f>Table22457891011234567891011121314151617181920212223[[#This Row],[PEMBULATAN]]*O7</f>
        <v>196000</v>
      </c>
    </row>
    <row r="8" spans="1:16" ht="28.5" customHeight="1" x14ac:dyDescent="0.2">
      <c r="A8" s="104"/>
      <c r="B8" s="104"/>
      <c r="C8" s="92" t="s">
        <v>441</v>
      </c>
      <c r="D8" s="106" t="s">
        <v>59</v>
      </c>
      <c r="E8" s="93">
        <v>44511</v>
      </c>
      <c r="F8" s="92" t="s">
        <v>60</v>
      </c>
      <c r="G8" s="93">
        <v>44512</v>
      </c>
      <c r="H8" s="92" t="s">
        <v>371</v>
      </c>
      <c r="I8" s="92">
        <v>47</v>
      </c>
      <c r="J8" s="92">
        <v>32</v>
      </c>
      <c r="K8" s="92">
        <v>32</v>
      </c>
      <c r="L8" s="92">
        <v>7</v>
      </c>
      <c r="M8" s="94">
        <v>12.032</v>
      </c>
      <c r="N8" s="109">
        <v>12.032</v>
      </c>
      <c r="O8" s="58">
        <v>7000</v>
      </c>
      <c r="P8" s="59">
        <f>Table22457891011234567891011121314151617181920212223[[#This Row],[PEMBULATAN]]*O8</f>
        <v>84224</v>
      </c>
    </row>
    <row r="9" spans="1:16" ht="28.5" customHeight="1" x14ac:dyDescent="0.2">
      <c r="A9" s="104"/>
      <c r="B9" s="104"/>
      <c r="C9" s="92" t="s">
        <v>442</v>
      </c>
      <c r="D9" s="106" t="s">
        <v>59</v>
      </c>
      <c r="E9" s="93">
        <v>44511</v>
      </c>
      <c r="F9" s="92" t="s">
        <v>60</v>
      </c>
      <c r="G9" s="93">
        <v>44512</v>
      </c>
      <c r="H9" s="92" t="s">
        <v>371</v>
      </c>
      <c r="I9" s="92">
        <v>74</v>
      </c>
      <c r="J9" s="92">
        <v>34</v>
      </c>
      <c r="K9" s="92">
        <v>46</v>
      </c>
      <c r="L9" s="92">
        <v>28</v>
      </c>
      <c r="M9" s="94">
        <v>28.934000000000001</v>
      </c>
      <c r="N9" s="109">
        <v>28.934000000000001</v>
      </c>
      <c r="O9" s="58">
        <v>7000</v>
      </c>
      <c r="P9" s="59">
        <f>Table22457891011234567891011121314151617181920212223[[#This Row],[PEMBULATAN]]*O9</f>
        <v>202538</v>
      </c>
    </row>
    <row r="10" spans="1:16" ht="28.5" customHeight="1" x14ac:dyDescent="0.2">
      <c r="A10" s="104"/>
      <c r="B10" s="104"/>
      <c r="C10" s="92" t="s">
        <v>443</v>
      </c>
      <c r="D10" s="106" t="s">
        <v>59</v>
      </c>
      <c r="E10" s="93">
        <v>44511</v>
      </c>
      <c r="F10" s="92" t="s">
        <v>60</v>
      </c>
      <c r="G10" s="93">
        <v>44512</v>
      </c>
      <c r="H10" s="92" t="s">
        <v>371</v>
      </c>
      <c r="I10" s="92">
        <v>67</v>
      </c>
      <c r="J10" s="92">
        <v>55</v>
      </c>
      <c r="K10" s="92">
        <v>20</v>
      </c>
      <c r="L10" s="92">
        <v>17</v>
      </c>
      <c r="M10" s="94">
        <v>18.425000000000001</v>
      </c>
      <c r="N10" s="109">
        <v>19</v>
      </c>
      <c r="O10" s="58">
        <v>7000</v>
      </c>
      <c r="P10" s="59">
        <f>Table22457891011234567891011121314151617181920212223[[#This Row],[PEMBULATAN]]*O10</f>
        <v>133000</v>
      </c>
    </row>
    <row r="11" spans="1:16" ht="28.5" customHeight="1" x14ac:dyDescent="0.2">
      <c r="A11" s="104"/>
      <c r="B11" s="104"/>
      <c r="C11" s="92" t="s">
        <v>444</v>
      </c>
      <c r="D11" s="106" t="s">
        <v>59</v>
      </c>
      <c r="E11" s="93">
        <v>44511</v>
      </c>
      <c r="F11" s="92" t="s">
        <v>60</v>
      </c>
      <c r="G11" s="93">
        <v>44512</v>
      </c>
      <c r="H11" s="92" t="s">
        <v>371</v>
      </c>
      <c r="I11" s="92">
        <v>78</v>
      </c>
      <c r="J11" s="92">
        <v>53</v>
      </c>
      <c r="K11" s="92">
        <v>34</v>
      </c>
      <c r="L11" s="92">
        <v>31</v>
      </c>
      <c r="M11" s="94">
        <v>35.139000000000003</v>
      </c>
      <c r="N11" s="109">
        <v>35.139000000000003</v>
      </c>
      <c r="O11" s="58">
        <v>7000</v>
      </c>
      <c r="P11" s="59">
        <f>Table22457891011234567891011121314151617181920212223[[#This Row],[PEMBULATAN]]*O11</f>
        <v>245973.00000000003</v>
      </c>
    </row>
    <row r="12" spans="1:16" ht="28.5" customHeight="1" x14ac:dyDescent="0.2">
      <c r="A12" s="104"/>
      <c r="B12" s="104"/>
      <c r="C12" s="92" t="s">
        <v>445</v>
      </c>
      <c r="D12" s="106" t="s">
        <v>59</v>
      </c>
      <c r="E12" s="93">
        <v>44511</v>
      </c>
      <c r="F12" s="92" t="s">
        <v>60</v>
      </c>
      <c r="G12" s="93">
        <v>44512</v>
      </c>
      <c r="H12" s="92" t="s">
        <v>371</v>
      </c>
      <c r="I12" s="92">
        <v>32</v>
      </c>
      <c r="J12" s="92">
        <v>23</v>
      </c>
      <c r="K12" s="92">
        <v>20</v>
      </c>
      <c r="L12" s="92">
        <v>8</v>
      </c>
      <c r="M12" s="94">
        <v>3.68</v>
      </c>
      <c r="N12" s="109">
        <v>8</v>
      </c>
      <c r="O12" s="58">
        <v>7000</v>
      </c>
      <c r="P12" s="59">
        <f>Table22457891011234567891011121314151617181920212223[[#This Row],[PEMBULATAN]]*O12</f>
        <v>56000</v>
      </c>
    </row>
    <row r="13" spans="1:16" ht="28.5" customHeight="1" x14ac:dyDescent="0.2">
      <c r="A13" s="104"/>
      <c r="B13" s="104"/>
      <c r="C13" s="92" t="s">
        <v>446</v>
      </c>
      <c r="D13" s="106" t="s">
        <v>59</v>
      </c>
      <c r="E13" s="93">
        <v>44511</v>
      </c>
      <c r="F13" s="92" t="s">
        <v>60</v>
      </c>
      <c r="G13" s="93">
        <v>44512</v>
      </c>
      <c r="H13" s="92" t="s">
        <v>371</v>
      </c>
      <c r="I13" s="92">
        <v>26</v>
      </c>
      <c r="J13" s="92">
        <v>10</v>
      </c>
      <c r="K13" s="92">
        <v>16</v>
      </c>
      <c r="L13" s="92">
        <v>23</v>
      </c>
      <c r="M13" s="94">
        <v>1.04</v>
      </c>
      <c r="N13" s="109">
        <v>23</v>
      </c>
      <c r="O13" s="58">
        <v>7000</v>
      </c>
      <c r="P13" s="59">
        <f>Table22457891011234567891011121314151617181920212223[[#This Row],[PEMBULATAN]]*O13</f>
        <v>161000</v>
      </c>
    </row>
    <row r="14" spans="1:16" ht="28.5" customHeight="1" x14ac:dyDescent="0.2">
      <c r="A14" s="104"/>
      <c r="B14" s="104"/>
      <c r="C14" s="92" t="s">
        <v>447</v>
      </c>
      <c r="D14" s="106" t="s">
        <v>59</v>
      </c>
      <c r="E14" s="93">
        <v>44511</v>
      </c>
      <c r="F14" s="92" t="s">
        <v>60</v>
      </c>
      <c r="G14" s="93">
        <v>44512</v>
      </c>
      <c r="H14" s="92" t="s">
        <v>371</v>
      </c>
      <c r="I14" s="92">
        <v>58</v>
      </c>
      <c r="J14" s="92">
        <v>20</v>
      </c>
      <c r="K14" s="92">
        <v>38</v>
      </c>
      <c r="L14" s="92">
        <v>12</v>
      </c>
      <c r="M14" s="94">
        <v>11.02</v>
      </c>
      <c r="N14" s="109">
        <v>12</v>
      </c>
      <c r="O14" s="58">
        <v>7000</v>
      </c>
      <c r="P14" s="59">
        <f>Table22457891011234567891011121314151617181920212223[[#This Row],[PEMBULATAN]]*O14</f>
        <v>84000</v>
      </c>
    </row>
    <row r="15" spans="1:16" ht="28.5" customHeight="1" x14ac:dyDescent="0.2">
      <c r="A15" s="104"/>
      <c r="B15" s="104"/>
      <c r="C15" s="92" t="s">
        <v>448</v>
      </c>
      <c r="D15" s="106" t="s">
        <v>59</v>
      </c>
      <c r="E15" s="93">
        <v>44511</v>
      </c>
      <c r="F15" s="92" t="s">
        <v>60</v>
      </c>
      <c r="G15" s="93">
        <v>44512</v>
      </c>
      <c r="H15" s="92" t="s">
        <v>371</v>
      </c>
      <c r="I15" s="92">
        <v>105</v>
      </c>
      <c r="J15" s="92">
        <v>38</v>
      </c>
      <c r="K15" s="92">
        <v>33</v>
      </c>
      <c r="L15" s="92">
        <v>11</v>
      </c>
      <c r="M15" s="94">
        <v>32.917499999999997</v>
      </c>
      <c r="N15" s="109">
        <v>32.917499999999997</v>
      </c>
      <c r="O15" s="58">
        <v>7000</v>
      </c>
      <c r="P15" s="59">
        <f>Table22457891011234567891011121314151617181920212223[[#This Row],[PEMBULATAN]]*O15</f>
        <v>230422.49999999997</v>
      </c>
    </row>
    <row r="16" spans="1:16" ht="28.5" customHeight="1" x14ac:dyDescent="0.2">
      <c r="A16" s="104"/>
      <c r="B16" s="104"/>
      <c r="C16" s="92" t="s">
        <v>449</v>
      </c>
      <c r="D16" s="106" t="s">
        <v>59</v>
      </c>
      <c r="E16" s="93">
        <v>44511</v>
      </c>
      <c r="F16" s="92" t="s">
        <v>60</v>
      </c>
      <c r="G16" s="93">
        <v>44512</v>
      </c>
      <c r="H16" s="92" t="s">
        <v>371</v>
      </c>
      <c r="I16" s="92">
        <v>66</v>
      </c>
      <c r="J16" s="92">
        <v>32</v>
      </c>
      <c r="K16" s="92">
        <v>37</v>
      </c>
      <c r="L16" s="92">
        <v>12</v>
      </c>
      <c r="M16" s="94">
        <v>19.536000000000001</v>
      </c>
      <c r="N16" s="109">
        <v>19.536000000000001</v>
      </c>
      <c r="O16" s="58">
        <v>7000</v>
      </c>
      <c r="P16" s="59">
        <f>Table22457891011234567891011121314151617181920212223[[#This Row],[PEMBULATAN]]*O16</f>
        <v>136752</v>
      </c>
    </row>
    <row r="17" spans="1:16" ht="28.5" customHeight="1" x14ac:dyDescent="0.2">
      <c r="A17" s="104"/>
      <c r="B17" s="104"/>
      <c r="C17" s="92" t="s">
        <v>450</v>
      </c>
      <c r="D17" s="106" t="s">
        <v>59</v>
      </c>
      <c r="E17" s="93">
        <v>44511</v>
      </c>
      <c r="F17" s="92" t="s">
        <v>60</v>
      </c>
      <c r="G17" s="93">
        <v>44512</v>
      </c>
      <c r="H17" s="92" t="s">
        <v>371</v>
      </c>
      <c r="I17" s="92">
        <v>52</v>
      </c>
      <c r="J17" s="92">
        <v>52</v>
      </c>
      <c r="K17" s="92">
        <v>50</v>
      </c>
      <c r="L17" s="92">
        <v>28</v>
      </c>
      <c r="M17" s="94">
        <v>33.799999999999997</v>
      </c>
      <c r="N17" s="109">
        <v>33.799999999999997</v>
      </c>
      <c r="O17" s="58">
        <v>7000</v>
      </c>
      <c r="P17" s="59">
        <f>Table22457891011234567891011121314151617181920212223[[#This Row],[PEMBULATAN]]*O17</f>
        <v>236599.99999999997</v>
      </c>
    </row>
    <row r="18" spans="1:16" ht="28.5" customHeight="1" x14ac:dyDescent="0.2">
      <c r="A18" s="104"/>
      <c r="B18" s="104"/>
      <c r="C18" s="92" t="s">
        <v>451</v>
      </c>
      <c r="D18" s="106" t="s">
        <v>59</v>
      </c>
      <c r="E18" s="93">
        <v>44511</v>
      </c>
      <c r="F18" s="92" t="s">
        <v>60</v>
      </c>
      <c r="G18" s="93">
        <v>44512</v>
      </c>
      <c r="H18" s="92" t="s">
        <v>371</v>
      </c>
      <c r="I18" s="92">
        <v>50</v>
      </c>
      <c r="J18" s="92">
        <v>28</v>
      </c>
      <c r="K18" s="92">
        <v>25</v>
      </c>
      <c r="L18" s="92">
        <v>6</v>
      </c>
      <c r="M18" s="94">
        <v>8.75</v>
      </c>
      <c r="N18" s="109">
        <v>8.75</v>
      </c>
      <c r="O18" s="58">
        <v>7000</v>
      </c>
      <c r="P18" s="59">
        <f>Table22457891011234567891011121314151617181920212223[[#This Row],[PEMBULATAN]]*O18</f>
        <v>61250</v>
      </c>
    </row>
    <row r="19" spans="1:16" ht="28.5" customHeight="1" x14ac:dyDescent="0.2">
      <c r="A19" s="104"/>
      <c r="B19" s="104"/>
      <c r="C19" s="92" t="s">
        <v>452</v>
      </c>
      <c r="D19" s="106" t="s">
        <v>59</v>
      </c>
      <c r="E19" s="93">
        <v>44511</v>
      </c>
      <c r="F19" s="92" t="s">
        <v>60</v>
      </c>
      <c r="G19" s="93">
        <v>44512</v>
      </c>
      <c r="H19" s="92" t="s">
        <v>371</v>
      </c>
      <c r="I19" s="92">
        <v>54</v>
      </c>
      <c r="J19" s="92">
        <v>53</v>
      </c>
      <c r="K19" s="92">
        <v>35</v>
      </c>
      <c r="L19" s="92">
        <v>21</v>
      </c>
      <c r="M19" s="94">
        <v>25.0425</v>
      </c>
      <c r="N19" s="109">
        <v>25.0425</v>
      </c>
      <c r="O19" s="58">
        <v>7000</v>
      </c>
      <c r="P19" s="59">
        <f>Table22457891011234567891011121314151617181920212223[[#This Row],[PEMBULATAN]]*O19</f>
        <v>175297.5</v>
      </c>
    </row>
    <row r="20" spans="1:16" ht="28.5" customHeight="1" x14ac:dyDescent="0.2">
      <c r="A20" s="104"/>
      <c r="B20" s="104"/>
      <c r="C20" s="92" t="s">
        <v>453</v>
      </c>
      <c r="D20" s="106" t="s">
        <v>59</v>
      </c>
      <c r="E20" s="93">
        <v>44511</v>
      </c>
      <c r="F20" s="92" t="s">
        <v>60</v>
      </c>
      <c r="G20" s="93">
        <v>44512</v>
      </c>
      <c r="H20" s="92" t="s">
        <v>371</v>
      </c>
      <c r="I20" s="92">
        <v>53</v>
      </c>
      <c r="J20" s="92">
        <v>40</v>
      </c>
      <c r="K20" s="92">
        <v>27</v>
      </c>
      <c r="L20" s="92">
        <v>8</v>
      </c>
      <c r="M20" s="94">
        <v>14.31</v>
      </c>
      <c r="N20" s="109">
        <v>15</v>
      </c>
      <c r="O20" s="58">
        <v>7000</v>
      </c>
      <c r="P20" s="59">
        <f>Table22457891011234567891011121314151617181920212223[[#This Row],[PEMBULATAN]]*O20</f>
        <v>105000</v>
      </c>
    </row>
    <row r="21" spans="1:16" ht="28.5" customHeight="1" x14ac:dyDescent="0.2">
      <c r="A21" s="104"/>
      <c r="B21" s="104"/>
      <c r="C21" s="92" t="s">
        <v>454</v>
      </c>
      <c r="D21" s="106" t="s">
        <v>59</v>
      </c>
      <c r="E21" s="93">
        <v>44511</v>
      </c>
      <c r="F21" s="92" t="s">
        <v>60</v>
      </c>
      <c r="G21" s="93">
        <v>44512</v>
      </c>
      <c r="H21" s="92" t="s">
        <v>371</v>
      </c>
      <c r="I21" s="92">
        <v>107</v>
      </c>
      <c r="J21" s="92">
        <v>10</v>
      </c>
      <c r="K21" s="92">
        <v>10</v>
      </c>
      <c r="L21" s="92">
        <v>20</v>
      </c>
      <c r="M21" s="94">
        <v>2.6749999999999998</v>
      </c>
      <c r="N21" s="109">
        <v>20</v>
      </c>
      <c r="O21" s="58">
        <v>7000</v>
      </c>
      <c r="P21" s="59">
        <f>Table22457891011234567891011121314151617181920212223[[#This Row],[PEMBULATAN]]*O21</f>
        <v>140000</v>
      </c>
    </row>
    <row r="22" spans="1:16" ht="28.5" customHeight="1" x14ac:dyDescent="0.2">
      <c r="A22" s="104"/>
      <c r="B22" s="104"/>
      <c r="C22" s="92" t="s">
        <v>455</v>
      </c>
      <c r="D22" s="106" t="s">
        <v>59</v>
      </c>
      <c r="E22" s="93">
        <v>44511</v>
      </c>
      <c r="F22" s="92" t="s">
        <v>60</v>
      </c>
      <c r="G22" s="93">
        <v>44512</v>
      </c>
      <c r="H22" s="92" t="s">
        <v>371</v>
      </c>
      <c r="I22" s="92">
        <v>38</v>
      </c>
      <c r="J22" s="92">
        <v>38</v>
      </c>
      <c r="K22" s="92">
        <v>15</v>
      </c>
      <c r="L22" s="92">
        <v>10</v>
      </c>
      <c r="M22" s="94">
        <v>5.415</v>
      </c>
      <c r="N22" s="109">
        <v>10</v>
      </c>
      <c r="O22" s="58">
        <v>7000</v>
      </c>
      <c r="P22" s="59">
        <f>Table22457891011234567891011121314151617181920212223[[#This Row],[PEMBULATAN]]*O22</f>
        <v>70000</v>
      </c>
    </row>
    <row r="23" spans="1:16" ht="28.5" customHeight="1" x14ac:dyDescent="0.2">
      <c r="A23" s="104"/>
      <c r="B23" s="104"/>
      <c r="C23" s="92" t="s">
        <v>456</v>
      </c>
      <c r="D23" s="106" t="s">
        <v>59</v>
      </c>
      <c r="E23" s="93">
        <v>44511</v>
      </c>
      <c r="F23" s="92" t="s">
        <v>60</v>
      </c>
      <c r="G23" s="93">
        <v>44512</v>
      </c>
      <c r="H23" s="92" t="s">
        <v>371</v>
      </c>
      <c r="I23" s="92">
        <v>53</v>
      </c>
      <c r="J23" s="92">
        <v>40</v>
      </c>
      <c r="K23" s="92">
        <v>22</v>
      </c>
      <c r="L23" s="92">
        <v>10</v>
      </c>
      <c r="M23" s="94">
        <v>11.66</v>
      </c>
      <c r="N23" s="109">
        <v>11.66</v>
      </c>
      <c r="O23" s="58">
        <v>7000</v>
      </c>
      <c r="P23" s="59">
        <f>Table22457891011234567891011121314151617181920212223[[#This Row],[PEMBULATAN]]*O23</f>
        <v>81620</v>
      </c>
    </row>
    <row r="24" spans="1:16" ht="28.5" customHeight="1" x14ac:dyDescent="0.2">
      <c r="A24" s="104"/>
      <c r="B24" s="105"/>
      <c r="C24" s="92" t="s">
        <v>457</v>
      </c>
      <c r="D24" s="106" t="s">
        <v>59</v>
      </c>
      <c r="E24" s="93">
        <v>44511</v>
      </c>
      <c r="F24" s="92" t="s">
        <v>60</v>
      </c>
      <c r="G24" s="93">
        <v>44512</v>
      </c>
      <c r="H24" s="92" t="s">
        <v>371</v>
      </c>
      <c r="I24" s="92">
        <v>42</v>
      </c>
      <c r="J24" s="92">
        <v>23</v>
      </c>
      <c r="K24" s="92">
        <v>32</v>
      </c>
      <c r="L24" s="92">
        <v>10</v>
      </c>
      <c r="M24" s="94">
        <v>7.7279999999999998</v>
      </c>
      <c r="N24" s="109">
        <v>10</v>
      </c>
      <c r="O24" s="58">
        <v>7000</v>
      </c>
      <c r="P24" s="59">
        <f>Table22457891011234567891011121314151617181920212223[[#This Row],[PEMBULATAN]]*O24</f>
        <v>70000</v>
      </c>
    </row>
    <row r="25" spans="1:16" ht="28.5" customHeight="1" x14ac:dyDescent="0.2">
      <c r="A25" s="104"/>
      <c r="B25" s="104" t="s">
        <v>458</v>
      </c>
      <c r="C25" s="92" t="s">
        <v>459</v>
      </c>
      <c r="D25" s="106" t="s">
        <v>59</v>
      </c>
      <c r="E25" s="93">
        <v>44511</v>
      </c>
      <c r="F25" s="92" t="s">
        <v>60</v>
      </c>
      <c r="G25" s="93">
        <v>44512</v>
      </c>
      <c r="H25" s="92" t="s">
        <v>371</v>
      </c>
      <c r="I25" s="92">
        <v>46</v>
      </c>
      <c r="J25" s="92">
        <v>43</v>
      </c>
      <c r="K25" s="92">
        <v>34</v>
      </c>
      <c r="L25" s="92">
        <v>15</v>
      </c>
      <c r="M25" s="94">
        <v>16.812999999999999</v>
      </c>
      <c r="N25" s="109">
        <v>16.812999999999999</v>
      </c>
      <c r="O25" s="58">
        <v>7000</v>
      </c>
      <c r="P25" s="59">
        <f>Table22457891011234567891011121314151617181920212223[[#This Row],[PEMBULATAN]]*O25</f>
        <v>117690.99999999999</v>
      </c>
    </row>
    <row r="26" spans="1:16" ht="28.5" customHeight="1" x14ac:dyDescent="0.2">
      <c r="A26" s="104"/>
      <c r="B26" s="104"/>
      <c r="C26" s="3" t="s">
        <v>460</v>
      </c>
      <c r="D26" s="106" t="s">
        <v>59</v>
      </c>
      <c r="E26" s="93">
        <v>44511</v>
      </c>
      <c r="F26" s="92" t="s">
        <v>60</v>
      </c>
      <c r="G26" s="93">
        <v>44512</v>
      </c>
      <c r="H26" s="92" t="s">
        <v>371</v>
      </c>
      <c r="I26" s="92">
        <v>50</v>
      </c>
      <c r="J26" s="92">
        <v>48</v>
      </c>
      <c r="K26" s="92">
        <v>58</v>
      </c>
      <c r="L26" s="92">
        <v>18</v>
      </c>
      <c r="M26" s="94">
        <v>34.799999999999997</v>
      </c>
      <c r="N26" s="109">
        <v>34.799999999999997</v>
      </c>
      <c r="O26" s="58">
        <v>7000</v>
      </c>
      <c r="P26" s="59">
        <f>Table22457891011234567891011121314151617181920212223[[#This Row],[PEMBULATAN]]*O26</f>
        <v>243599.99999999997</v>
      </c>
    </row>
    <row r="27" spans="1:16" ht="28.5" customHeight="1" x14ac:dyDescent="0.2">
      <c r="A27" s="104"/>
      <c r="B27" s="104"/>
      <c r="C27" s="92" t="s">
        <v>461</v>
      </c>
      <c r="D27" s="106" t="s">
        <v>59</v>
      </c>
      <c r="E27" s="93">
        <v>44511</v>
      </c>
      <c r="F27" s="92" t="s">
        <v>60</v>
      </c>
      <c r="G27" s="93">
        <v>44512</v>
      </c>
      <c r="H27" s="92" t="s">
        <v>371</v>
      </c>
      <c r="I27" s="92">
        <v>39</v>
      </c>
      <c r="J27" s="92">
        <v>24</v>
      </c>
      <c r="K27" s="92">
        <v>12</v>
      </c>
      <c r="L27" s="92">
        <v>2</v>
      </c>
      <c r="M27" s="94">
        <v>2.8079999999999998</v>
      </c>
      <c r="N27" s="109">
        <v>2.8079999999999998</v>
      </c>
      <c r="O27" s="58">
        <v>7000</v>
      </c>
      <c r="P27" s="59">
        <f>Table22457891011234567891011121314151617181920212223[[#This Row],[PEMBULATAN]]*O27</f>
        <v>19656</v>
      </c>
    </row>
    <row r="28" spans="1:16" ht="28.5" customHeight="1" x14ac:dyDescent="0.2">
      <c r="A28" s="105"/>
      <c r="B28" s="105"/>
      <c r="C28" s="92" t="s">
        <v>462</v>
      </c>
      <c r="D28" s="106" t="s">
        <v>59</v>
      </c>
      <c r="E28" s="93">
        <v>44511</v>
      </c>
      <c r="F28" s="92" t="s">
        <v>60</v>
      </c>
      <c r="G28" s="93">
        <v>44512</v>
      </c>
      <c r="H28" s="92" t="s">
        <v>463</v>
      </c>
      <c r="I28" s="92">
        <v>53</v>
      </c>
      <c r="J28" s="92">
        <v>38</v>
      </c>
      <c r="K28" s="92">
        <v>12</v>
      </c>
      <c r="L28" s="92">
        <v>1</v>
      </c>
      <c r="M28" s="94">
        <v>6.0419999999999998</v>
      </c>
      <c r="N28" s="109">
        <v>6.0419999999999998</v>
      </c>
      <c r="O28" s="58">
        <v>7000</v>
      </c>
      <c r="P28" s="59">
        <f>Table22457891011234567891011121314151617181920212223[[#This Row],[PEMBULATAN]]*O28</f>
        <v>42294</v>
      </c>
    </row>
    <row r="29" spans="1:16" ht="22.5" customHeight="1" x14ac:dyDescent="0.2">
      <c r="A29" s="145" t="s">
        <v>30</v>
      </c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7"/>
      <c r="M29" s="73">
        <f>SUBTOTAL(109,Table22457891011234567891011121314151617181920212223[KG VOLUME])</f>
        <v>397.22</v>
      </c>
      <c r="N29" s="62">
        <f>SUM(N3:N28)</f>
        <v>504.87900000000008</v>
      </c>
      <c r="O29" s="148">
        <f>SUM(P3:P28)</f>
        <v>3534153</v>
      </c>
      <c r="P29" s="149"/>
    </row>
    <row r="30" spans="1:16" ht="18" customHeight="1" x14ac:dyDescent="0.2">
      <c r="A30" s="80"/>
      <c r="B30" s="50" t="s">
        <v>42</v>
      </c>
      <c r="C30" s="49"/>
      <c r="D30" s="51" t="s">
        <v>43</v>
      </c>
      <c r="E30" s="80"/>
      <c r="F30" s="80"/>
      <c r="G30" s="80"/>
      <c r="H30" s="80"/>
      <c r="I30" s="80"/>
      <c r="J30" s="80"/>
      <c r="K30" s="80"/>
      <c r="L30" s="80"/>
      <c r="M30" s="81"/>
      <c r="N30" s="82" t="s">
        <v>52</v>
      </c>
      <c r="O30" s="83"/>
      <c r="P30" s="83">
        <v>0</v>
      </c>
    </row>
    <row r="31" spans="1:16" ht="18" customHeight="1" thickBot="1" x14ac:dyDescent="0.25">
      <c r="A31" s="80"/>
      <c r="B31" s="50"/>
      <c r="C31" s="49"/>
      <c r="D31" s="51"/>
      <c r="E31" s="80"/>
      <c r="F31" s="80"/>
      <c r="G31" s="80"/>
      <c r="H31" s="80"/>
      <c r="I31" s="80"/>
      <c r="J31" s="80"/>
      <c r="K31" s="80"/>
      <c r="L31" s="80"/>
      <c r="M31" s="81"/>
      <c r="N31" s="84" t="s">
        <v>53</v>
      </c>
      <c r="O31" s="85"/>
      <c r="P31" s="85">
        <f>O29-P30</f>
        <v>3534153</v>
      </c>
    </row>
    <row r="32" spans="1:16" ht="18" customHeight="1" x14ac:dyDescent="0.2">
      <c r="A32" s="11"/>
      <c r="H32" s="57"/>
      <c r="N32" s="56" t="s">
        <v>31</v>
      </c>
      <c r="P32" s="63">
        <f>P31*1%</f>
        <v>35341.53</v>
      </c>
    </row>
    <row r="33" spans="1:16" ht="18" customHeight="1" thickBot="1" x14ac:dyDescent="0.25">
      <c r="A33" s="11"/>
      <c r="H33" s="57"/>
      <c r="N33" s="56" t="s">
        <v>54</v>
      </c>
      <c r="P33" s="65">
        <f>P31*2%</f>
        <v>70683.06</v>
      </c>
    </row>
    <row r="34" spans="1:16" ht="18" customHeight="1" x14ac:dyDescent="0.2">
      <c r="A34" s="11"/>
      <c r="H34" s="57"/>
      <c r="N34" s="60" t="s">
        <v>32</v>
      </c>
      <c r="O34" s="61"/>
      <c r="P34" s="64">
        <f>P31+P32-P33</f>
        <v>3498811.4699999997</v>
      </c>
    </row>
    <row r="36" spans="1:16" x14ac:dyDescent="0.2">
      <c r="A36" s="11"/>
      <c r="H36" s="57"/>
      <c r="P36" s="65"/>
    </row>
    <row r="37" spans="1:16" x14ac:dyDescent="0.2">
      <c r="A37" s="11"/>
      <c r="H37" s="57"/>
      <c r="O37" s="52"/>
      <c r="P37" s="65"/>
    </row>
    <row r="38" spans="1:16" s="3" customFormat="1" x14ac:dyDescent="0.25">
      <c r="A38" s="11"/>
      <c r="B38" s="2"/>
      <c r="C38" s="2"/>
      <c r="E38" s="12"/>
      <c r="H38" s="57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57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57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57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57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57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57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57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57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57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57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57"/>
      <c r="N49" s="15"/>
      <c r="O49" s="15"/>
      <c r="P49" s="15"/>
    </row>
  </sheetData>
  <mergeCells count="2">
    <mergeCell ref="A29:L29"/>
    <mergeCell ref="O29:P29"/>
  </mergeCells>
  <conditionalFormatting sqref="C3:C24">
    <cfRule type="duplicateValues" dxfId="332" priority="2"/>
  </conditionalFormatting>
  <conditionalFormatting sqref="C25:C28">
    <cfRule type="duplicateValues" dxfId="331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L14" sqref="L1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.85546875" style="3" customWidth="1"/>
    <col min="5" max="5" width="9.140625" style="12" customWidth="1"/>
    <col min="6" max="6" width="16.5703125" style="3" customWidth="1"/>
    <col min="7" max="7" width="9.5703125" style="3" customWidth="1"/>
    <col min="8" max="8" width="16.28515625" style="6" customWidth="1"/>
    <col min="9" max="11" width="4.42578125" style="3" customWidth="1"/>
    <col min="12" max="12" width="5" style="3" customWidth="1"/>
    <col min="13" max="13" width="8.5703125" style="3" customWidth="1"/>
    <col min="14" max="14" width="12.7109375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0">
        <v>403940</v>
      </c>
      <c r="B3" s="100" t="s">
        <v>464</v>
      </c>
      <c r="C3" s="113" t="s">
        <v>465</v>
      </c>
      <c r="D3" s="70" t="s">
        <v>59</v>
      </c>
      <c r="E3" s="96">
        <v>44512</v>
      </c>
      <c r="F3" s="1" t="s">
        <v>60</v>
      </c>
      <c r="G3" s="96">
        <v>44515</v>
      </c>
      <c r="H3" s="1" t="s">
        <v>468</v>
      </c>
      <c r="I3" s="1">
        <v>75</v>
      </c>
      <c r="J3" s="1">
        <v>44</v>
      </c>
      <c r="K3" s="1">
        <v>36</v>
      </c>
      <c r="L3" s="1">
        <v>7</v>
      </c>
      <c r="M3" s="74">
        <v>29.7</v>
      </c>
      <c r="N3" s="90">
        <v>29.7</v>
      </c>
      <c r="O3" s="58">
        <v>7000</v>
      </c>
      <c r="P3" s="59">
        <f>Table2245789101123456789101112131415161718192021222324[[#This Row],[PEMBULATAN]]*O3</f>
        <v>207900</v>
      </c>
    </row>
    <row r="4" spans="1:16" ht="26.25" customHeight="1" x14ac:dyDescent="0.2">
      <c r="A4" s="101"/>
      <c r="B4" s="101"/>
      <c r="C4" s="1" t="s">
        <v>466</v>
      </c>
      <c r="D4" s="70" t="s">
        <v>59</v>
      </c>
      <c r="E4" s="96">
        <v>44512</v>
      </c>
      <c r="F4" s="1" t="s">
        <v>60</v>
      </c>
      <c r="G4" s="96">
        <v>44515</v>
      </c>
      <c r="H4" s="1" t="s">
        <v>468</v>
      </c>
      <c r="I4" s="1">
        <v>32</v>
      </c>
      <c r="J4" s="1">
        <v>26</v>
      </c>
      <c r="K4" s="1">
        <v>21</v>
      </c>
      <c r="L4" s="1">
        <v>9</v>
      </c>
      <c r="M4" s="74">
        <v>4.3680000000000003</v>
      </c>
      <c r="N4" s="90">
        <v>5</v>
      </c>
      <c r="O4" s="58">
        <v>7000</v>
      </c>
      <c r="P4" s="59">
        <f>Table2245789101123456789101112131415161718192021222324[[#This Row],[PEMBULATAN]]*O4</f>
        <v>35000</v>
      </c>
    </row>
    <row r="5" spans="1:16" ht="26.25" customHeight="1" x14ac:dyDescent="0.2">
      <c r="A5" s="102"/>
      <c r="B5" s="102"/>
      <c r="C5" s="1" t="s">
        <v>467</v>
      </c>
      <c r="D5" s="70" t="s">
        <v>59</v>
      </c>
      <c r="E5" s="96">
        <v>44512</v>
      </c>
      <c r="F5" s="1" t="s">
        <v>60</v>
      </c>
      <c r="G5" s="96">
        <v>44515</v>
      </c>
      <c r="H5" s="1" t="s">
        <v>468</v>
      </c>
      <c r="I5" s="1">
        <v>48</v>
      </c>
      <c r="J5" s="1">
        <v>36</v>
      </c>
      <c r="K5" s="1">
        <v>26</v>
      </c>
      <c r="L5" s="1">
        <v>8</v>
      </c>
      <c r="M5" s="74">
        <v>11.231999999999999</v>
      </c>
      <c r="N5" s="90">
        <v>11.231999999999999</v>
      </c>
      <c r="O5" s="58">
        <v>7000</v>
      </c>
      <c r="P5" s="59">
        <f>Table2245789101123456789101112131415161718192021222324[[#This Row],[PEMBULATAN]]*O5</f>
        <v>78624</v>
      </c>
    </row>
    <row r="6" spans="1:16" ht="22.5" customHeight="1" x14ac:dyDescent="0.2">
      <c r="A6" s="145" t="s">
        <v>30</v>
      </c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7"/>
      <c r="M6" s="73">
        <f>SUBTOTAL(109,Table2245789101123456789101112131415161718192021222324[KG VOLUME])</f>
        <v>45.3</v>
      </c>
      <c r="N6" s="62">
        <f>SUM(N3:N5)</f>
        <v>45.932000000000002</v>
      </c>
      <c r="O6" s="148">
        <f>SUM(P3:P5)</f>
        <v>321524</v>
      </c>
      <c r="P6" s="149"/>
    </row>
    <row r="7" spans="1:16" ht="18" customHeight="1" x14ac:dyDescent="0.2">
      <c r="A7" s="80"/>
      <c r="B7" s="50" t="s">
        <v>42</v>
      </c>
      <c r="C7" s="49"/>
      <c r="D7" s="51" t="s">
        <v>43</v>
      </c>
      <c r="E7" s="80"/>
      <c r="F7" s="80"/>
      <c r="G7" s="80"/>
      <c r="H7" s="80"/>
      <c r="I7" s="80"/>
      <c r="J7" s="80"/>
      <c r="K7" s="80"/>
      <c r="L7" s="80"/>
      <c r="M7" s="81"/>
      <c r="N7" s="82" t="s">
        <v>52</v>
      </c>
      <c r="O7" s="83"/>
      <c r="P7" s="83">
        <v>0</v>
      </c>
    </row>
    <row r="8" spans="1:16" ht="18" customHeight="1" thickBot="1" x14ac:dyDescent="0.25">
      <c r="A8" s="80"/>
      <c r="B8" s="50"/>
      <c r="C8" s="49"/>
      <c r="D8" s="51"/>
      <c r="E8" s="80"/>
      <c r="F8" s="80"/>
      <c r="G8" s="80"/>
      <c r="H8" s="80"/>
      <c r="I8" s="80"/>
      <c r="J8" s="80"/>
      <c r="K8" s="80"/>
      <c r="L8" s="80"/>
      <c r="M8" s="81"/>
      <c r="N8" s="84" t="s">
        <v>53</v>
      </c>
      <c r="O8" s="85"/>
      <c r="P8" s="85">
        <f>O6-P7</f>
        <v>321524</v>
      </c>
    </row>
    <row r="9" spans="1:16" ht="18" customHeight="1" x14ac:dyDescent="0.2">
      <c r="A9" s="11"/>
      <c r="H9" s="57"/>
      <c r="N9" s="56" t="s">
        <v>31</v>
      </c>
      <c r="P9" s="63">
        <f>P8*1%</f>
        <v>3215.2400000000002</v>
      </c>
    </row>
    <row r="10" spans="1:16" ht="18" customHeight="1" thickBot="1" x14ac:dyDescent="0.25">
      <c r="A10" s="11"/>
      <c r="H10" s="57"/>
      <c r="N10" s="56" t="s">
        <v>54</v>
      </c>
      <c r="P10" s="65">
        <f>P8*2%</f>
        <v>6430.4800000000005</v>
      </c>
    </row>
    <row r="11" spans="1:16" ht="18" customHeight="1" x14ac:dyDescent="0.2">
      <c r="A11" s="11"/>
      <c r="H11" s="57"/>
      <c r="N11" s="60" t="s">
        <v>32</v>
      </c>
      <c r="O11" s="61"/>
      <c r="P11" s="64">
        <f>P8+P9-P10</f>
        <v>318308.76</v>
      </c>
    </row>
    <row r="13" spans="1:16" x14ac:dyDescent="0.2">
      <c r="A13" s="11"/>
      <c r="H13" s="57"/>
      <c r="P13" s="65"/>
    </row>
    <row r="14" spans="1:16" x14ac:dyDescent="0.2">
      <c r="A14" s="11"/>
      <c r="H14" s="57"/>
      <c r="O14" s="52"/>
      <c r="P14" s="65"/>
    </row>
    <row r="15" spans="1:16" s="3" customFormat="1" x14ac:dyDescent="0.25">
      <c r="A15" s="11"/>
      <c r="B15" s="2"/>
      <c r="C15" s="2"/>
      <c r="E15" s="12"/>
      <c r="H15" s="57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57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57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57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57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7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7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7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7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7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7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57"/>
      <c r="N26" s="15"/>
      <c r="O26" s="15"/>
      <c r="P26" s="15"/>
    </row>
  </sheetData>
  <mergeCells count="2">
    <mergeCell ref="A6:L6"/>
    <mergeCell ref="O6:P6"/>
  </mergeCells>
  <conditionalFormatting sqref="C3:C5">
    <cfRule type="duplicateValues" dxfId="315" priority="1"/>
  </conditionalFormatting>
  <hyperlinks>
    <hyperlink ref="C3" r:id="rId1" display="https://www.sicepat.com/"/>
  </hyperlinks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2"/>
  <tableParts count="1"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4"/>
  <sheetViews>
    <sheetView zoomScale="110" zoomScaleNormal="110" workbookViewId="0">
      <pane xSplit="3" ySplit="2" topLeftCell="D36" activePane="bottomRight" state="frozen"/>
      <selection pane="topRight" activeCell="B1" sqref="B1"/>
      <selection pane="bottomLeft" activeCell="A3" sqref="A3"/>
      <selection pane="bottomRight" activeCell="D36" sqref="D36:D43"/>
    </sheetView>
  </sheetViews>
  <sheetFormatPr defaultRowHeight="15" x14ac:dyDescent="0.2"/>
  <cols>
    <col min="1" max="1" width="8" style="4" customWidth="1"/>
    <col min="2" max="2" width="19.5703125" style="2" customWidth="1"/>
    <col min="3" max="3" width="16.140625" style="2" customWidth="1"/>
    <col min="4" max="4" width="9.5703125" style="3" customWidth="1"/>
    <col min="5" max="5" width="9" style="12" customWidth="1"/>
    <col min="6" max="6" width="15.85546875" style="3" customWidth="1"/>
    <col min="7" max="7" width="9.5703125" style="3" customWidth="1"/>
    <col min="8" max="8" width="15.855468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0">
        <v>403858</v>
      </c>
      <c r="B3" s="100" t="s">
        <v>469</v>
      </c>
      <c r="C3" s="1" t="s">
        <v>470</v>
      </c>
      <c r="D3" s="1" t="s">
        <v>59</v>
      </c>
      <c r="E3" s="96">
        <v>44512</v>
      </c>
      <c r="F3" s="1" t="s">
        <v>60</v>
      </c>
      <c r="G3" s="96">
        <v>44515</v>
      </c>
      <c r="H3" s="1" t="s">
        <v>468</v>
      </c>
      <c r="I3" s="1">
        <v>84</v>
      </c>
      <c r="J3" s="1">
        <v>40</v>
      </c>
      <c r="K3" s="1">
        <v>20</v>
      </c>
      <c r="L3" s="1">
        <v>8</v>
      </c>
      <c r="M3" s="74">
        <v>16.8</v>
      </c>
      <c r="N3" s="90">
        <v>16.8</v>
      </c>
      <c r="O3" s="58">
        <v>7000</v>
      </c>
      <c r="P3" s="59">
        <f>Table224578910112345678910111213141516171819202122232425[[#This Row],[PEMBULATAN]]*O3</f>
        <v>117600</v>
      </c>
    </row>
    <row r="4" spans="1:16" ht="26.25" customHeight="1" x14ac:dyDescent="0.2">
      <c r="A4" s="101"/>
      <c r="B4" s="101"/>
      <c r="C4" s="1" t="s">
        <v>471</v>
      </c>
      <c r="D4" s="1" t="s">
        <v>59</v>
      </c>
      <c r="E4" s="96">
        <v>44512</v>
      </c>
      <c r="F4" s="1" t="s">
        <v>60</v>
      </c>
      <c r="G4" s="96">
        <v>44515</v>
      </c>
      <c r="H4" s="1" t="s">
        <v>468</v>
      </c>
      <c r="I4" s="1">
        <v>41</v>
      </c>
      <c r="J4" s="1">
        <v>40</v>
      </c>
      <c r="K4" s="1">
        <v>21</v>
      </c>
      <c r="L4" s="1">
        <v>8</v>
      </c>
      <c r="M4" s="74">
        <v>8.61</v>
      </c>
      <c r="N4" s="90">
        <v>8.61</v>
      </c>
      <c r="O4" s="58">
        <v>7000</v>
      </c>
      <c r="P4" s="59">
        <f>Table224578910112345678910111213141516171819202122232425[[#This Row],[PEMBULATAN]]*O4</f>
        <v>60269.999999999993</v>
      </c>
    </row>
    <row r="5" spans="1:16" ht="26.25" customHeight="1" x14ac:dyDescent="0.2">
      <c r="A5" s="101"/>
      <c r="B5" s="101"/>
      <c r="C5" s="1" t="s">
        <v>472</v>
      </c>
      <c r="D5" s="1" t="s">
        <v>59</v>
      </c>
      <c r="E5" s="96">
        <v>44512</v>
      </c>
      <c r="F5" s="1" t="s">
        <v>60</v>
      </c>
      <c r="G5" s="96">
        <v>44515</v>
      </c>
      <c r="H5" s="1" t="s">
        <v>468</v>
      </c>
      <c r="I5" s="1">
        <v>47</v>
      </c>
      <c r="J5" s="1">
        <v>41</v>
      </c>
      <c r="K5" s="1">
        <v>37</v>
      </c>
      <c r="L5" s="1">
        <v>5</v>
      </c>
      <c r="M5" s="74">
        <v>17.824750000000002</v>
      </c>
      <c r="N5" s="90">
        <v>17.824750000000002</v>
      </c>
      <c r="O5" s="58">
        <v>7000</v>
      </c>
      <c r="P5" s="59">
        <f>Table224578910112345678910111213141516171819202122232425[[#This Row],[PEMBULATAN]]*O5</f>
        <v>124773.25000000001</v>
      </c>
    </row>
    <row r="6" spans="1:16" ht="26.25" customHeight="1" x14ac:dyDescent="0.2">
      <c r="A6" s="101"/>
      <c r="B6" s="101"/>
      <c r="C6" s="1" t="s">
        <v>473</v>
      </c>
      <c r="D6" s="1" t="s">
        <v>59</v>
      </c>
      <c r="E6" s="96">
        <v>44512</v>
      </c>
      <c r="F6" s="1" t="s">
        <v>60</v>
      </c>
      <c r="G6" s="96">
        <v>44515</v>
      </c>
      <c r="H6" s="1" t="s">
        <v>468</v>
      </c>
      <c r="I6" s="1">
        <v>58</v>
      </c>
      <c r="J6" s="1">
        <v>53</v>
      </c>
      <c r="K6" s="1">
        <v>12</v>
      </c>
      <c r="L6" s="1">
        <v>8</v>
      </c>
      <c r="M6" s="74">
        <v>9.2219999999999995</v>
      </c>
      <c r="N6" s="90">
        <v>9.2219999999999995</v>
      </c>
      <c r="O6" s="58">
        <v>7000</v>
      </c>
      <c r="P6" s="59">
        <f>Table224578910112345678910111213141516171819202122232425[[#This Row],[PEMBULATAN]]*O6</f>
        <v>64554</v>
      </c>
    </row>
    <row r="7" spans="1:16" ht="26.25" customHeight="1" x14ac:dyDescent="0.2">
      <c r="A7" s="101"/>
      <c r="B7" s="101"/>
      <c r="C7" s="1" t="s">
        <v>474</v>
      </c>
      <c r="D7" s="1" t="s">
        <v>59</v>
      </c>
      <c r="E7" s="96">
        <v>44512</v>
      </c>
      <c r="F7" s="1" t="s">
        <v>60</v>
      </c>
      <c r="G7" s="96">
        <v>44515</v>
      </c>
      <c r="H7" s="1" t="s">
        <v>468</v>
      </c>
      <c r="I7" s="1">
        <v>56</v>
      </c>
      <c r="J7" s="1">
        <v>46</v>
      </c>
      <c r="K7" s="1">
        <v>17</v>
      </c>
      <c r="L7" s="1">
        <v>8</v>
      </c>
      <c r="M7" s="74">
        <v>10.948</v>
      </c>
      <c r="N7" s="90">
        <v>10.948</v>
      </c>
      <c r="O7" s="58">
        <v>7000</v>
      </c>
      <c r="P7" s="59">
        <f>Table224578910112345678910111213141516171819202122232425[[#This Row],[PEMBULATAN]]*O7</f>
        <v>76636</v>
      </c>
    </row>
    <row r="8" spans="1:16" ht="26.25" customHeight="1" x14ac:dyDescent="0.2">
      <c r="A8" s="101"/>
      <c r="B8" s="101"/>
      <c r="C8" s="1" t="s">
        <v>475</v>
      </c>
      <c r="D8" s="1" t="s">
        <v>59</v>
      </c>
      <c r="E8" s="96">
        <v>44512</v>
      </c>
      <c r="F8" s="1" t="s">
        <v>60</v>
      </c>
      <c r="G8" s="96">
        <v>44515</v>
      </c>
      <c r="H8" s="1" t="s">
        <v>468</v>
      </c>
      <c r="I8" s="1">
        <v>60</v>
      </c>
      <c r="J8" s="1">
        <v>55</v>
      </c>
      <c r="K8" s="1">
        <v>26</v>
      </c>
      <c r="L8" s="1">
        <v>13</v>
      </c>
      <c r="M8" s="74">
        <v>21.45</v>
      </c>
      <c r="N8" s="90">
        <v>22</v>
      </c>
      <c r="O8" s="58">
        <v>7000</v>
      </c>
      <c r="P8" s="59">
        <f>Table224578910112345678910111213141516171819202122232425[[#This Row],[PEMBULATAN]]*O8</f>
        <v>154000</v>
      </c>
    </row>
    <row r="9" spans="1:16" ht="26.25" customHeight="1" x14ac:dyDescent="0.2">
      <c r="A9" s="101"/>
      <c r="B9" s="101"/>
      <c r="C9" s="1" t="s">
        <v>476</v>
      </c>
      <c r="D9" s="1" t="s">
        <v>59</v>
      </c>
      <c r="E9" s="96">
        <v>44512</v>
      </c>
      <c r="F9" s="1" t="s">
        <v>60</v>
      </c>
      <c r="G9" s="96">
        <v>44515</v>
      </c>
      <c r="H9" s="1" t="s">
        <v>468</v>
      </c>
      <c r="I9" s="1">
        <v>40</v>
      </c>
      <c r="J9" s="1">
        <v>40</v>
      </c>
      <c r="K9" s="1">
        <v>26</v>
      </c>
      <c r="L9" s="1">
        <v>12</v>
      </c>
      <c r="M9" s="74">
        <v>10.4</v>
      </c>
      <c r="N9" s="90">
        <v>12</v>
      </c>
      <c r="O9" s="58">
        <v>7000</v>
      </c>
      <c r="P9" s="59">
        <f>Table224578910112345678910111213141516171819202122232425[[#This Row],[PEMBULATAN]]*O9</f>
        <v>84000</v>
      </c>
    </row>
    <row r="10" spans="1:16" ht="26.25" customHeight="1" x14ac:dyDescent="0.2">
      <c r="A10" s="101"/>
      <c r="B10" s="101"/>
      <c r="C10" s="1" t="s">
        <v>477</v>
      </c>
      <c r="D10" s="1" t="s">
        <v>59</v>
      </c>
      <c r="E10" s="96">
        <v>44512</v>
      </c>
      <c r="F10" s="1" t="s">
        <v>60</v>
      </c>
      <c r="G10" s="96">
        <v>44515</v>
      </c>
      <c r="H10" s="1" t="s">
        <v>468</v>
      </c>
      <c r="I10" s="1">
        <v>142</v>
      </c>
      <c r="J10" s="1">
        <v>17</v>
      </c>
      <c r="K10" s="1">
        <v>18</v>
      </c>
      <c r="L10" s="1">
        <v>5</v>
      </c>
      <c r="M10" s="74">
        <v>10.863</v>
      </c>
      <c r="N10" s="90">
        <v>10.863</v>
      </c>
      <c r="O10" s="58">
        <v>7000</v>
      </c>
      <c r="P10" s="59">
        <f>Table224578910112345678910111213141516171819202122232425[[#This Row],[PEMBULATAN]]*O10</f>
        <v>76041</v>
      </c>
    </row>
    <row r="11" spans="1:16" ht="26.25" customHeight="1" x14ac:dyDescent="0.2">
      <c r="A11" s="101"/>
      <c r="B11" s="101"/>
      <c r="C11" s="1" t="s">
        <v>478</v>
      </c>
      <c r="D11" s="1" t="s">
        <v>59</v>
      </c>
      <c r="E11" s="96">
        <v>44512</v>
      </c>
      <c r="F11" s="1" t="s">
        <v>60</v>
      </c>
      <c r="G11" s="96">
        <v>44515</v>
      </c>
      <c r="H11" s="1" t="s">
        <v>468</v>
      </c>
      <c r="I11" s="1">
        <v>47</v>
      </c>
      <c r="J11" s="1">
        <v>42</v>
      </c>
      <c r="K11" s="1">
        <v>22</v>
      </c>
      <c r="L11" s="1">
        <v>7</v>
      </c>
      <c r="M11" s="74">
        <v>10.856999999999999</v>
      </c>
      <c r="N11" s="90">
        <v>10.856999999999999</v>
      </c>
      <c r="O11" s="58">
        <v>7000</v>
      </c>
      <c r="P11" s="59">
        <f>Table224578910112345678910111213141516171819202122232425[[#This Row],[PEMBULATAN]]*O11</f>
        <v>75999</v>
      </c>
    </row>
    <row r="12" spans="1:16" ht="26.25" customHeight="1" x14ac:dyDescent="0.2">
      <c r="A12" s="101"/>
      <c r="B12" s="101"/>
      <c r="C12" s="1" t="s">
        <v>479</v>
      </c>
      <c r="D12" s="1" t="s">
        <v>59</v>
      </c>
      <c r="E12" s="96">
        <v>44512</v>
      </c>
      <c r="F12" s="1" t="s">
        <v>60</v>
      </c>
      <c r="G12" s="96">
        <v>44515</v>
      </c>
      <c r="H12" s="1" t="s">
        <v>468</v>
      </c>
      <c r="I12" s="1">
        <v>45</v>
      </c>
      <c r="J12" s="1">
        <v>42</v>
      </c>
      <c r="K12" s="1">
        <v>22</v>
      </c>
      <c r="L12" s="1">
        <v>7</v>
      </c>
      <c r="M12" s="74">
        <v>10.395</v>
      </c>
      <c r="N12" s="90">
        <v>11</v>
      </c>
      <c r="O12" s="58">
        <v>7000</v>
      </c>
      <c r="P12" s="59">
        <f>Table224578910112345678910111213141516171819202122232425[[#This Row],[PEMBULATAN]]*O12</f>
        <v>77000</v>
      </c>
    </row>
    <row r="13" spans="1:16" ht="26.25" customHeight="1" x14ac:dyDescent="0.2">
      <c r="A13" s="101"/>
      <c r="B13" s="101"/>
      <c r="C13" s="1" t="s">
        <v>480</v>
      </c>
      <c r="D13" s="1" t="s">
        <v>59</v>
      </c>
      <c r="E13" s="96">
        <v>44512</v>
      </c>
      <c r="F13" s="1" t="s">
        <v>60</v>
      </c>
      <c r="G13" s="96">
        <v>44515</v>
      </c>
      <c r="H13" s="1" t="s">
        <v>468</v>
      </c>
      <c r="I13" s="1">
        <v>78</v>
      </c>
      <c r="J13" s="1">
        <v>52</v>
      </c>
      <c r="K13" s="1">
        <v>21</v>
      </c>
      <c r="L13" s="1">
        <v>10</v>
      </c>
      <c r="M13" s="74">
        <v>21.294</v>
      </c>
      <c r="N13" s="90">
        <v>21.294</v>
      </c>
      <c r="O13" s="58">
        <v>7000</v>
      </c>
      <c r="P13" s="59">
        <f>Table224578910112345678910111213141516171819202122232425[[#This Row],[PEMBULATAN]]*O13</f>
        <v>149058</v>
      </c>
    </row>
    <row r="14" spans="1:16" ht="26.25" customHeight="1" x14ac:dyDescent="0.2">
      <c r="A14" s="101"/>
      <c r="B14" s="101"/>
      <c r="C14" s="1" t="s">
        <v>481</v>
      </c>
      <c r="D14" s="1" t="s">
        <v>59</v>
      </c>
      <c r="E14" s="96">
        <v>44512</v>
      </c>
      <c r="F14" s="1" t="s">
        <v>60</v>
      </c>
      <c r="G14" s="96">
        <v>44515</v>
      </c>
      <c r="H14" s="1" t="s">
        <v>468</v>
      </c>
      <c r="I14" s="1">
        <v>40</v>
      </c>
      <c r="J14" s="1">
        <v>36</v>
      </c>
      <c r="K14" s="1">
        <v>26</v>
      </c>
      <c r="L14" s="1">
        <v>13</v>
      </c>
      <c r="M14" s="74">
        <v>9.36</v>
      </c>
      <c r="N14" s="90">
        <v>13</v>
      </c>
      <c r="O14" s="58">
        <v>7000</v>
      </c>
      <c r="P14" s="59">
        <f>Table224578910112345678910111213141516171819202122232425[[#This Row],[PEMBULATAN]]*O14</f>
        <v>91000</v>
      </c>
    </row>
    <row r="15" spans="1:16" ht="26.25" customHeight="1" x14ac:dyDescent="0.2">
      <c r="A15" s="101"/>
      <c r="B15" s="101"/>
      <c r="C15" s="1" t="s">
        <v>482</v>
      </c>
      <c r="D15" s="1" t="s">
        <v>59</v>
      </c>
      <c r="E15" s="96">
        <v>44512</v>
      </c>
      <c r="F15" s="1" t="s">
        <v>60</v>
      </c>
      <c r="G15" s="96">
        <v>44515</v>
      </c>
      <c r="H15" s="1" t="s">
        <v>468</v>
      </c>
      <c r="I15" s="1">
        <v>42</v>
      </c>
      <c r="J15" s="1">
        <v>40</v>
      </c>
      <c r="K15" s="1">
        <v>27</v>
      </c>
      <c r="L15" s="1">
        <v>9</v>
      </c>
      <c r="M15" s="74">
        <v>11.34</v>
      </c>
      <c r="N15" s="90">
        <v>12</v>
      </c>
      <c r="O15" s="58">
        <v>7000</v>
      </c>
      <c r="P15" s="59">
        <f>Table224578910112345678910111213141516171819202122232425[[#This Row],[PEMBULATAN]]*O15</f>
        <v>84000</v>
      </c>
    </row>
    <row r="16" spans="1:16" ht="26.25" customHeight="1" x14ac:dyDescent="0.2">
      <c r="A16" s="101"/>
      <c r="B16" s="101"/>
      <c r="C16" s="98" t="s">
        <v>483</v>
      </c>
      <c r="D16" s="1" t="s">
        <v>59</v>
      </c>
      <c r="E16" s="96">
        <v>44512</v>
      </c>
      <c r="F16" s="1" t="s">
        <v>60</v>
      </c>
      <c r="G16" s="96">
        <v>44515</v>
      </c>
      <c r="H16" s="1" t="s">
        <v>468</v>
      </c>
      <c r="I16" s="1">
        <v>45</v>
      </c>
      <c r="J16" s="1">
        <v>34</v>
      </c>
      <c r="K16" s="1">
        <v>20</v>
      </c>
      <c r="L16" s="1">
        <v>24</v>
      </c>
      <c r="M16" s="74">
        <v>7.65</v>
      </c>
      <c r="N16" s="90">
        <v>24</v>
      </c>
      <c r="O16" s="58">
        <v>7000</v>
      </c>
      <c r="P16" s="59">
        <f>Table224578910112345678910111213141516171819202122232425[[#This Row],[PEMBULATAN]]*O16</f>
        <v>168000</v>
      </c>
    </row>
    <row r="17" spans="1:16" ht="26.25" customHeight="1" x14ac:dyDescent="0.2">
      <c r="A17" s="101"/>
      <c r="B17" s="101"/>
      <c r="C17" s="1" t="s">
        <v>484</v>
      </c>
      <c r="D17" s="1" t="s">
        <v>59</v>
      </c>
      <c r="E17" s="96">
        <v>44512</v>
      </c>
      <c r="F17" s="1" t="s">
        <v>60</v>
      </c>
      <c r="G17" s="96">
        <v>44515</v>
      </c>
      <c r="H17" s="1" t="s">
        <v>468</v>
      </c>
      <c r="I17" s="1">
        <v>38</v>
      </c>
      <c r="J17" s="1">
        <v>27</v>
      </c>
      <c r="K17" s="1">
        <v>32</v>
      </c>
      <c r="L17" s="1">
        <v>7</v>
      </c>
      <c r="M17" s="74">
        <v>8.2080000000000002</v>
      </c>
      <c r="N17" s="90">
        <v>8.2080000000000002</v>
      </c>
      <c r="O17" s="58">
        <v>7000</v>
      </c>
      <c r="P17" s="59">
        <f>Table224578910112345678910111213141516171819202122232425[[#This Row],[PEMBULATAN]]*O17</f>
        <v>57456</v>
      </c>
    </row>
    <row r="18" spans="1:16" ht="26.25" customHeight="1" x14ac:dyDescent="0.2">
      <c r="A18" s="101"/>
      <c r="B18" s="102"/>
      <c r="C18" s="1" t="s">
        <v>485</v>
      </c>
      <c r="D18" s="1" t="s">
        <v>59</v>
      </c>
      <c r="E18" s="96">
        <v>44512</v>
      </c>
      <c r="F18" s="1" t="s">
        <v>60</v>
      </c>
      <c r="G18" s="96">
        <v>44515</v>
      </c>
      <c r="H18" s="1" t="s">
        <v>468</v>
      </c>
      <c r="I18" s="1">
        <v>114</v>
      </c>
      <c r="J18" s="1">
        <v>82</v>
      </c>
      <c r="K18" s="1">
        <v>47</v>
      </c>
      <c r="L18" s="1">
        <v>20</v>
      </c>
      <c r="M18" s="74">
        <v>109.839</v>
      </c>
      <c r="N18" s="90">
        <v>109.839</v>
      </c>
      <c r="O18" s="58">
        <v>7000</v>
      </c>
      <c r="P18" s="59">
        <f>Table224578910112345678910111213141516171819202122232425[[#This Row],[PEMBULATAN]]*O18</f>
        <v>768873</v>
      </c>
    </row>
    <row r="19" spans="1:16" ht="26.25" customHeight="1" x14ac:dyDescent="0.2">
      <c r="A19" s="101"/>
      <c r="B19" s="101" t="s">
        <v>486</v>
      </c>
      <c r="C19" s="1" t="s">
        <v>487</v>
      </c>
      <c r="D19" s="1" t="s">
        <v>59</v>
      </c>
      <c r="E19" s="96">
        <v>44512</v>
      </c>
      <c r="F19" s="1" t="s">
        <v>60</v>
      </c>
      <c r="G19" s="96">
        <v>44515</v>
      </c>
      <c r="H19" s="1" t="s">
        <v>468</v>
      </c>
      <c r="I19" s="1">
        <v>44</v>
      </c>
      <c r="J19" s="1">
        <v>25</v>
      </c>
      <c r="K19" s="1">
        <v>20</v>
      </c>
      <c r="L19" s="1">
        <v>9</v>
      </c>
      <c r="M19" s="74">
        <v>5.5</v>
      </c>
      <c r="N19" s="90">
        <v>9</v>
      </c>
      <c r="O19" s="58">
        <v>7000</v>
      </c>
      <c r="P19" s="59">
        <f>Table224578910112345678910111213141516171819202122232425[[#This Row],[PEMBULATAN]]*O19</f>
        <v>63000</v>
      </c>
    </row>
    <row r="20" spans="1:16" ht="26.25" customHeight="1" x14ac:dyDescent="0.2">
      <c r="A20" s="101"/>
      <c r="B20" s="101"/>
      <c r="C20" s="1" t="s">
        <v>488</v>
      </c>
      <c r="D20" s="1" t="s">
        <v>59</v>
      </c>
      <c r="E20" s="96">
        <v>44512</v>
      </c>
      <c r="F20" s="1" t="s">
        <v>60</v>
      </c>
      <c r="G20" s="96">
        <v>44515</v>
      </c>
      <c r="H20" s="1" t="s">
        <v>468</v>
      </c>
      <c r="I20" s="1">
        <v>75</v>
      </c>
      <c r="J20" s="1">
        <v>40</v>
      </c>
      <c r="K20" s="1">
        <v>48</v>
      </c>
      <c r="L20" s="1">
        <v>19</v>
      </c>
      <c r="M20" s="74">
        <v>36</v>
      </c>
      <c r="N20" s="90">
        <v>36</v>
      </c>
      <c r="O20" s="58">
        <v>7000</v>
      </c>
      <c r="P20" s="59">
        <f>Table224578910112345678910111213141516171819202122232425[[#This Row],[PEMBULATAN]]*O20</f>
        <v>252000</v>
      </c>
    </row>
    <row r="21" spans="1:16" ht="26.25" customHeight="1" x14ac:dyDescent="0.2">
      <c r="A21" s="101"/>
      <c r="B21" s="101"/>
      <c r="C21" s="1" t="s">
        <v>489</v>
      </c>
      <c r="D21" s="1" t="s">
        <v>59</v>
      </c>
      <c r="E21" s="96">
        <v>44512</v>
      </c>
      <c r="F21" s="1" t="s">
        <v>60</v>
      </c>
      <c r="G21" s="96">
        <v>44515</v>
      </c>
      <c r="H21" s="1" t="s">
        <v>468</v>
      </c>
      <c r="I21" s="1">
        <v>62</v>
      </c>
      <c r="J21" s="1">
        <v>63</v>
      </c>
      <c r="K21" s="1">
        <v>25</v>
      </c>
      <c r="L21" s="1">
        <v>21</v>
      </c>
      <c r="M21" s="74">
        <v>24.412500000000001</v>
      </c>
      <c r="N21" s="90">
        <v>25</v>
      </c>
      <c r="O21" s="58">
        <v>7000</v>
      </c>
      <c r="P21" s="59">
        <f>Table224578910112345678910111213141516171819202122232425[[#This Row],[PEMBULATAN]]*O21</f>
        <v>175000</v>
      </c>
    </row>
    <row r="22" spans="1:16" ht="26.25" customHeight="1" x14ac:dyDescent="0.2">
      <c r="A22" s="101"/>
      <c r="B22" s="101"/>
      <c r="C22" s="1" t="s">
        <v>490</v>
      </c>
      <c r="D22" s="1" t="s">
        <v>59</v>
      </c>
      <c r="E22" s="96">
        <v>44512</v>
      </c>
      <c r="F22" s="1" t="s">
        <v>60</v>
      </c>
      <c r="G22" s="96">
        <v>44515</v>
      </c>
      <c r="H22" s="1" t="s">
        <v>468</v>
      </c>
      <c r="I22" s="1">
        <v>33</v>
      </c>
      <c r="J22" s="1">
        <v>26</v>
      </c>
      <c r="K22" s="1">
        <v>18</v>
      </c>
      <c r="L22" s="1">
        <v>8</v>
      </c>
      <c r="M22" s="74">
        <v>3.8610000000000002</v>
      </c>
      <c r="N22" s="90">
        <v>8</v>
      </c>
      <c r="O22" s="58">
        <v>7000</v>
      </c>
      <c r="P22" s="59">
        <f>Table224578910112345678910111213141516171819202122232425[[#This Row],[PEMBULATAN]]*O22</f>
        <v>56000</v>
      </c>
    </row>
    <row r="23" spans="1:16" ht="26.25" customHeight="1" x14ac:dyDescent="0.2">
      <c r="A23" s="101"/>
      <c r="B23" s="101"/>
      <c r="C23" s="1" t="s">
        <v>491</v>
      </c>
      <c r="D23" s="1" t="s">
        <v>59</v>
      </c>
      <c r="E23" s="96">
        <v>44512</v>
      </c>
      <c r="F23" s="1" t="s">
        <v>60</v>
      </c>
      <c r="G23" s="96">
        <v>44515</v>
      </c>
      <c r="H23" s="1" t="s">
        <v>468</v>
      </c>
      <c r="I23" s="1">
        <v>36</v>
      </c>
      <c r="J23" s="1">
        <v>35</v>
      </c>
      <c r="K23" s="1">
        <v>20</v>
      </c>
      <c r="L23" s="1">
        <v>6</v>
      </c>
      <c r="M23" s="74">
        <v>6.3</v>
      </c>
      <c r="N23" s="90">
        <v>7</v>
      </c>
      <c r="O23" s="58">
        <v>7000</v>
      </c>
      <c r="P23" s="59">
        <f>Table224578910112345678910111213141516171819202122232425[[#This Row],[PEMBULATAN]]*O23</f>
        <v>49000</v>
      </c>
    </row>
    <row r="24" spans="1:16" ht="26.25" customHeight="1" x14ac:dyDescent="0.2">
      <c r="A24" s="101"/>
      <c r="B24" s="101"/>
      <c r="C24" s="1" t="s">
        <v>492</v>
      </c>
      <c r="D24" s="1" t="s">
        <v>59</v>
      </c>
      <c r="E24" s="96">
        <v>44512</v>
      </c>
      <c r="F24" s="1" t="s">
        <v>60</v>
      </c>
      <c r="G24" s="96">
        <v>44515</v>
      </c>
      <c r="H24" s="1" t="s">
        <v>468</v>
      </c>
      <c r="I24" s="1">
        <v>91</v>
      </c>
      <c r="J24" s="1">
        <v>55</v>
      </c>
      <c r="K24" s="1">
        <v>32</v>
      </c>
      <c r="L24" s="1">
        <v>41</v>
      </c>
      <c r="M24" s="74">
        <v>40.04</v>
      </c>
      <c r="N24" s="90">
        <v>41</v>
      </c>
      <c r="O24" s="58">
        <v>7000</v>
      </c>
      <c r="P24" s="59">
        <f>Table224578910112345678910111213141516171819202122232425[[#This Row],[PEMBULATAN]]*O24</f>
        <v>287000</v>
      </c>
    </row>
    <row r="25" spans="1:16" ht="26.25" customHeight="1" x14ac:dyDescent="0.2">
      <c r="A25" s="101"/>
      <c r="B25" s="101"/>
      <c r="C25" s="1" t="s">
        <v>493</v>
      </c>
      <c r="D25" s="1" t="s">
        <v>59</v>
      </c>
      <c r="E25" s="96">
        <v>44512</v>
      </c>
      <c r="F25" s="1" t="s">
        <v>60</v>
      </c>
      <c r="G25" s="96">
        <v>44515</v>
      </c>
      <c r="H25" s="1" t="s">
        <v>468</v>
      </c>
      <c r="I25" s="1">
        <v>82</v>
      </c>
      <c r="J25" s="1">
        <v>35</v>
      </c>
      <c r="K25" s="1">
        <v>35</v>
      </c>
      <c r="L25" s="1">
        <v>7</v>
      </c>
      <c r="M25" s="74">
        <v>25.112500000000001</v>
      </c>
      <c r="N25" s="90">
        <v>25.112500000000001</v>
      </c>
      <c r="O25" s="58">
        <v>7000</v>
      </c>
      <c r="P25" s="59">
        <f>Table224578910112345678910111213141516171819202122232425[[#This Row],[PEMBULATAN]]*O25</f>
        <v>175787.5</v>
      </c>
    </row>
    <row r="26" spans="1:16" ht="26.25" customHeight="1" x14ac:dyDescent="0.2">
      <c r="A26" s="101"/>
      <c r="B26" s="101"/>
      <c r="C26" s="1" t="s">
        <v>494</v>
      </c>
      <c r="D26" s="1" t="s">
        <v>59</v>
      </c>
      <c r="E26" s="96">
        <v>44512</v>
      </c>
      <c r="F26" s="1" t="s">
        <v>60</v>
      </c>
      <c r="G26" s="96">
        <v>44515</v>
      </c>
      <c r="H26" s="1" t="s">
        <v>468</v>
      </c>
      <c r="I26" s="1">
        <v>75</v>
      </c>
      <c r="J26" s="1">
        <v>48</v>
      </c>
      <c r="K26" s="1">
        <v>40</v>
      </c>
      <c r="L26" s="1">
        <v>19</v>
      </c>
      <c r="M26" s="74">
        <v>36</v>
      </c>
      <c r="N26" s="90">
        <v>36</v>
      </c>
      <c r="O26" s="58">
        <v>7000</v>
      </c>
      <c r="P26" s="59">
        <f>Table224578910112345678910111213141516171819202122232425[[#This Row],[PEMBULATAN]]*O26</f>
        <v>252000</v>
      </c>
    </row>
    <row r="27" spans="1:16" ht="26.25" customHeight="1" x14ac:dyDescent="0.2">
      <c r="A27" s="101"/>
      <c r="B27" s="101"/>
      <c r="C27" s="1" t="s">
        <v>495</v>
      </c>
      <c r="D27" s="1" t="s">
        <v>59</v>
      </c>
      <c r="E27" s="96">
        <v>44512</v>
      </c>
      <c r="F27" s="1" t="s">
        <v>60</v>
      </c>
      <c r="G27" s="96">
        <v>44515</v>
      </c>
      <c r="H27" s="1" t="s">
        <v>468</v>
      </c>
      <c r="I27" s="1">
        <v>53</v>
      </c>
      <c r="J27" s="1">
        <v>40</v>
      </c>
      <c r="K27" s="1">
        <v>42</v>
      </c>
      <c r="L27" s="1">
        <v>15</v>
      </c>
      <c r="M27" s="74">
        <v>22.26</v>
      </c>
      <c r="N27" s="90">
        <v>22.26</v>
      </c>
      <c r="O27" s="58">
        <v>7000</v>
      </c>
      <c r="P27" s="59">
        <f>Table224578910112345678910111213141516171819202122232425[[#This Row],[PEMBULATAN]]*O27</f>
        <v>155820</v>
      </c>
    </row>
    <row r="28" spans="1:16" ht="26.25" customHeight="1" x14ac:dyDescent="0.2">
      <c r="A28" s="101"/>
      <c r="B28" s="101"/>
      <c r="C28" s="1" t="s">
        <v>496</v>
      </c>
      <c r="D28" s="1" t="s">
        <v>59</v>
      </c>
      <c r="E28" s="96">
        <v>44512</v>
      </c>
      <c r="F28" s="1" t="s">
        <v>60</v>
      </c>
      <c r="G28" s="96">
        <v>44515</v>
      </c>
      <c r="H28" s="1" t="s">
        <v>468</v>
      </c>
      <c r="I28" s="1">
        <v>68</v>
      </c>
      <c r="J28" s="1">
        <v>68</v>
      </c>
      <c r="K28" s="1">
        <v>22</v>
      </c>
      <c r="L28" s="1">
        <v>13</v>
      </c>
      <c r="M28" s="74">
        <v>25.431999999999999</v>
      </c>
      <c r="N28" s="90">
        <v>26</v>
      </c>
      <c r="O28" s="58">
        <v>7000</v>
      </c>
      <c r="P28" s="59">
        <f>Table224578910112345678910111213141516171819202122232425[[#This Row],[PEMBULATAN]]*O28</f>
        <v>182000</v>
      </c>
    </row>
    <row r="29" spans="1:16" ht="26.25" customHeight="1" x14ac:dyDescent="0.2">
      <c r="A29" s="101"/>
      <c r="B29" s="101"/>
      <c r="C29" s="1" t="s">
        <v>497</v>
      </c>
      <c r="D29" s="1" t="s">
        <v>59</v>
      </c>
      <c r="E29" s="96">
        <v>44512</v>
      </c>
      <c r="F29" s="1" t="s">
        <v>60</v>
      </c>
      <c r="G29" s="96">
        <v>44515</v>
      </c>
      <c r="H29" s="1" t="s">
        <v>468</v>
      </c>
      <c r="I29" s="1">
        <v>52</v>
      </c>
      <c r="J29" s="1">
        <v>49</v>
      </c>
      <c r="K29" s="1">
        <v>26</v>
      </c>
      <c r="L29" s="1">
        <v>10</v>
      </c>
      <c r="M29" s="74">
        <v>16.562000000000001</v>
      </c>
      <c r="N29" s="90">
        <v>16.562000000000001</v>
      </c>
      <c r="O29" s="58">
        <v>7000</v>
      </c>
      <c r="P29" s="59">
        <f>Table224578910112345678910111213141516171819202122232425[[#This Row],[PEMBULATAN]]*O29</f>
        <v>115934.00000000001</v>
      </c>
    </row>
    <row r="30" spans="1:16" ht="26.25" customHeight="1" x14ac:dyDescent="0.2">
      <c r="A30" s="101"/>
      <c r="B30" s="101"/>
      <c r="C30" s="1" t="s">
        <v>498</v>
      </c>
      <c r="D30" s="1" t="s">
        <v>59</v>
      </c>
      <c r="E30" s="96">
        <v>44512</v>
      </c>
      <c r="F30" s="1" t="s">
        <v>60</v>
      </c>
      <c r="G30" s="96">
        <v>44515</v>
      </c>
      <c r="H30" s="1" t="s">
        <v>468</v>
      </c>
      <c r="I30" s="1">
        <v>54</v>
      </c>
      <c r="J30" s="1">
        <v>52</v>
      </c>
      <c r="K30" s="1">
        <v>35</v>
      </c>
      <c r="L30" s="1">
        <v>15</v>
      </c>
      <c r="M30" s="74">
        <v>24.57</v>
      </c>
      <c r="N30" s="90">
        <v>24.57</v>
      </c>
      <c r="O30" s="58">
        <v>7000</v>
      </c>
      <c r="P30" s="59">
        <f>Table224578910112345678910111213141516171819202122232425[[#This Row],[PEMBULATAN]]*O30</f>
        <v>171990</v>
      </c>
    </row>
    <row r="31" spans="1:16" ht="26.25" customHeight="1" x14ac:dyDescent="0.2">
      <c r="A31" s="101"/>
      <c r="B31" s="101"/>
      <c r="C31" s="1" t="s">
        <v>499</v>
      </c>
      <c r="D31" s="1" t="s">
        <v>59</v>
      </c>
      <c r="E31" s="96">
        <v>44512</v>
      </c>
      <c r="F31" s="1" t="s">
        <v>60</v>
      </c>
      <c r="G31" s="96">
        <v>44515</v>
      </c>
      <c r="H31" s="1" t="s">
        <v>468</v>
      </c>
      <c r="I31" s="1">
        <v>80</v>
      </c>
      <c r="J31" s="1">
        <v>72</v>
      </c>
      <c r="K31" s="1">
        <v>15</v>
      </c>
      <c r="L31" s="1">
        <v>8</v>
      </c>
      <c r="M31" s="74">
        <v>21.6</v>
      </c>
      <c r="N31" s="90">
        <v>21.6</v>
      </c>
      <c r="O31" s="58">
        <v>7000</v>
      </c>
      <c r="P31" s="59">
        <f>Table224578910112345678910111213141516171819202122232425[[#This Row],[PEMBULATAN]]*O31</f>
        <v>151200</v>
      </c>
    </row>
    <row r="32" spans="1:16" ht="26.25" customHeight="1" x14ac:dyDescent="0.2">
      <c r="A32" s="101"/>
      <c r="B32" s="101"/>
      <c r="C32" s="1" t="s">
        <v>500</v>
      </c>
      <c r="D32" s="1" t="s">
        <v>59</v>
      </c>
      <c r="E32" s="96">
        <v>44512</v>
      </c>
      <c r="F32" s="1" t="s">
        <v>60</v>
      </c>
      <c r="G32" s="96">
        <v>44515</v>
      </c>
      <c r="H32" s="1" t="s">
        <v>468</v>
      </c>
      <c r="I32" s="1">
        <v>44</v>
      </c>
      <c r="J32" s="1">
        <v>43</v>
      </c>
      <c r="K32" s="1">
        <v>25</v>
      </c>
      <c r="L32" s="1">
        <v>10</v>
      </c>
      <c r="M32" s="74">
        <v>11.824999999999999</v>
      </c>
      <c r="N32" s="90">
        <v>11.824999999999999</v>
      </c>
      <c r="O32" s="58">
        <v>7000</v>
      </c>
      <c r="P32" s="59">
        <f>Table224578910112345678910111213141516171819202122232425[[#This Row],[PEMBULATAN]]*O32</f>
        <v>82775</v>
      </c>
    </row>
    <row r="33" spans="1:16" ht="26.25" customHeight="1" x14ac:dyDescent="0.2">
      <c r="A33" s="101"/>
      <c r="B33" s="101"/>
      <c r="C33" s="1" t="s">
        <v>501</v>
      </c>
      <c r="D33" s="1" t="s">
        <v>59</v>
      </c>
      <c r="E33" s="96">
        <v>44512</v>
      </c>
      <c r="F33" s="1" t="s">
        <v>60</v>
      </c>
      <c r="G33" s="96">
        <v>44515</v>
      </c>
      <c r="H33" s="1" t="s">
        <v>468</v>
      </c>
      <c r="I33" s="1">
        <v>33</v>
      </c>
      <c r="J33" s="1">
        <v>40</v>
      </c>
      <c r="K33" s="1">
        <v>26</v>
      </c>
      <c r="L33" s="1">
        <v>8</v>
      </c>
      <c r="M33" s="74">
        <v>8.58</v>
      </c>
      <c r="N33" s="90">
        <v>8.58</v>
      </c>
      <c r="O33" s="58">
        <v>7000</v>
      </c>
      <c r="P33" s="59">
        <f>Table224578910112345678910111213141516171819202122232425[[#This Row],[PEMBULATAN]]*O33</f>
        <v>60060</v>
      </c>
    </row>
    <row r="34" spans="1:16" ht="26.25" customHeight="1" x14ac:dyDescent="0.2">
      <c r="A34" s="101"/>
      <c r="B34" s="101"/>
      <c r="C34" s="1" t="s">
        <v>502</v>
      </c>
      <c r="D34" s="1" t="s">
        <v>59</v>
      </c>
      <c r="E34" s="96">
        <v>44512</v>
      </c>
      <c r="F34" s="1" t="s">
        <v>60</v>
      </c>
      <c r="G34" s="96">
        <v>44515</v>
      </c>
      <c r="H34" s="1" t="s">
        <v>468</v>
      </c>
      <c r="I34" s="1">
        <v>63</v>
      </c>
      <c r="J34" s="1">
        <v>33</v>
      </c>
      <c r="K34" s="1">
        <v>26</v>
      </c>
      <c r="L34" s="1">
        <v>5</v>
      </c>
      <c r="M34" s="74">
        <v>13.513500000000001</v>
      </c>
      <c r="N34" s="90">
        <v>13.513500000000001</v>
      </c>
      <c r="O34" s="58">
        <v>7000</v>
      </c>
      <c r="P34" s="59">
        <f>Table224578910112345678910111213141516171819202122232425[[#This Row],[PEMBULATAN]]*O34</f>
        <v>94594.5</v>
      </c>
    </row>
    <row r="35" spans="1:16" ht="26.25" customHeight="1" x14ac:dyDescent="0.2">
      <c r="A35" s="101"/>
      <c r="B35" s="101"/>
      <c r="C35" s="1" t="s">
        <v>503</v>
      </c>
      <c r="D35" s="1" t="s">
        <v>59</v>
      </c>
      <c r="E35" s="96">
        <v>44512</v>
      </c>
      <c r="F35" s="1" t="s">
        <v>60</v>
      </c>
      <c r="G35" s="96">
        <v>44515</v>
      </c>
      <c r="H35" s="1" t="s">
        <v>468</v>
      </c>
      <c r="I35" s="1">
        <v>48</v>
      </c>
      <c r="J35" s="1">
        <v>50</v>
      </c>
      <c r="K35" s="1">
        <v>24</v>
      </c>
      <c r="L35" s="1">
        <v>10</v>
      </c>
      <c r="M35" s="74">
        <v>14.4</v>
      </c>
      <c r="N35" s="90">
        <v>15</v>
      </c>
      <c r="O35" s="58">
        <v>7000</v>
      </c>
      <c r="P35" s="59">
        <f>Table224578910112345678910111213141516171819202122232425[[#This Row],[PEMBULATAN]]*O35</f>
        <v>105000</v>
      </c>
    </row>
    <row r="36" spans="1:16" ht="26.25" customHeight="1" x14ac:dyDescent="0.2">
      <c r="A36" s="101"/>
      <c r="B36" s="101"/>
      <c r="C36" s="1" t="s">
        <v>504</v>
      </c>
      <c r="D36" s="70" t="s">
        <v>59</v>
      </c>
      <c r="E36" s="96">
        <v>44512</v>
      </c>
      <c r="F36" s="1" t="s">
        <v>60</v>
      </c>
      <c r="G36" s="96">
        <v>44515</v>
      </c>
      <c r="H36" s="1" t="s">
        <v>468</v>
      </c>
      <c r="I36" s="1">
        <v>73</v>
      </c>
      <c r="J36" s="1">
        <v>38</v>
      </c>
      <c r="K36" s="1">
        <v>48</v>
      </c>
      <c r="L36" s="1">
        <v>19</v>
      </c>
      <c r="M36" s="74">
        <v>33.287999999999997</v>
      </c>
      <c r="N36" s="90">
        <v>33.287999999999997</v>
      </c>
      <c r="O36" s="58">
        <v>7000</v>
      </c>
      <c r="P36" s="59">
        <f>Table224578910112345678910111213141516171819202122232425[[#This Row],[PEMBULATAN]]*O36</f>
        <v>233015.99999999997</v>
      </c>
    </row>
    <row r="37" spans="1:16" ht="26.25" customHeight="1" x14ac:dyDescent="0.2">
      <c r="A37" s="101"/>
      <c r="B37" s="102"/>
      <c r="C37" s="1" t="s">
        <v>505</v>
      </c>
      <c r="D37" s="70" t="s">
        <v>59</v>
      </c>
      <c r="E37" s="96">
        <v>44512</v>
      </c>
      <c r="F37" s="1" t="s">
        <v>60</v>
      </c>
      <c r="G37" s="96">
        <v>44515</v>
      </c>
      <c r="H37" s="1" t="s">
        <v>468</v>
      </c>
      <c r="I37" s="1">
        <v>43</v>
      </c>
      <c r="J37" s="1">
        <v>40</v>
      </c>
      <c r="K37" s="1">
        <v>26</v>
      </c>
      <c r="L37" s="1">
        <v>10</v>
      </c>
      <c r="M37" s="74">
        <v>11.18</v>
      </c>
      <c r="N37" s="90">
        <v>11.18</v>
      </c>
      <c r="O37" s="58">
        <v>7000</v>
      </c>
      <c r="P37" s="59">
        <f>Table224578910112345678910111213141516171819202122232425[[#This Row],[PEMBULATAN]]*O37</f>
        <v>78260</v>
      </c>
    </row>
    <row r="38" spans="1:16" ht="26.25" customHeight="1" x14ac:dyDescent="0.2">
      <c r="A38" s="101"/>
      <c r="B38" s="101" t="s">
        <v>506</v>
      </c>
      <c r="C38" s="1" t="s">
        <v>507</v>
      </c>
      <c r="D38" s="70" t="s">
        <v>59</v>
      </c>
      <c r="E38" s="96">
        <v>44512</v>
      </c>
      <c r="F38" s="1" t="s">
        <v>60</v>
      </c>
      <c r="G38" s="96">
        <v>44515</v>
      </c>
      <c r="H38" s="1" t="s">
        <v>468</v>
      </c>
      <c r="I38" s="1">
        <v>97</v>
      </c>
      <c r="J38" s="1">
        <v>15</v>
      </c>
      <c r="K38" s="1">
        <v>30</v>
      </c>
      <c r="L38" s="1">
        <v>7</v>
      </c>
      <c r="M38" s="74">
        <v>10.9125</v>
      </c>
      <c r="N38" s="90">
        <v>10.9125</v>
      </c>
      <c r="O38" s="58">
        <v>7000</v>
      </c>
      <c r="P38" s="59">
        <f>Table224578910112345678910111213141516171819202122232425[[#This Row],[PEMBULATAN]]*O38</f>
        <v>76387.5</v>
      </c>
    </row>
    <row r="39" spans="1:16" ht="26.25" customHeight="1" x14ac:dyDescent="0.2">
      <c r="A39" s="101"/>
      <c r="B39" s="101"/>
      <c r="C39" s="1" t="s">
        <v>508</v>
      </c>
      <c r="D39" s="70" t="s">
        <v>59</v>
      </c>
      <c r="E39" s="96">
        <v>44512</v>
      </c>
      <c r="F39" s="1" t="s">
        <v>60</v>
      </c>
      <c r="G39" s="96">
        <v>44515</v>
      </c>
      <c r="H39" s="1" t="s">
        <v>468</v>
      </c>
      <c r="I39" s="1">
        <v>74</v>
      </c>
      <c r="J39" s="1">
        <v>47</v>
      </c>
      <c r="K39" s="1">
        <v>44</v>
      </c>
      <c r="L39" s="1">
        <v>34</v>
      </c>
      <c r="M39" s="74">
        <v>38.258000000000003</v>
      </c>
      <c r="N39" s="90">
        <v>38.258000000000003</v>
      </c>
      <c r="O39" s="58">
        <v>7000</v>
      </c>
      <c r="P39" s="59">
        <f>Table224578910112345678910111213141516171819202122232425[[#This Row],[PEMBULATAN]]*O39</f>
        <v>267806</v>
      </c>
    </row>
    <row r="40" spans="1:16" ht="26.25" customHeight="1" x14ac:dyDescent="0.2">
      <c r="A40" s="101"/>
      <c r="B40" s="101"/>
      <c r="C40" s="1" t="s">
        <v>509</v>
      </c>
      <c r="D40" s="70" t="s">
        <v>59</v>
      </c>
      <c r="E40" s="96">
        <v>44512</v>
      </c>
      <c r="F40" s="1" t="s">
        <v>60</v>
      </c>
      <c r="G40" s="96">
        <v>44515</v>
      </c>
      <c r="H40" s="1" t="s">
        <v>468</v>
      </c>
      <c r="I40" s="1">
        <v>53</v>
      </c>
      <c r="J40" s="1">
        <v>30</v>
      </c>
      <c r="K40" s="1">
        <v>8</v>
      </c>
      <c r="L40" s="1">
        <v>15</v>
      </c>
      <c r="M40" s="74">
        <v>3.18</v>
      </c>
      <c r="N40" s="90">
        <v>15</v>
      </c>
      <c r="O40" s="58">
        <v>7000</v>
      </c>
      <c r="P40" s="59">
        <f>Table224578910112345678910111213141516171819202122232425[[#This Row],[PEMBULATAN]]*O40</f>
        <v>105000</v>
      </c>
    </row>
    <row r="41" spans="1:16" ht="26.25" customHeight="1" x14ac:dyDescent="0.2">
      <c r="A41" s="101"/>
      <c r="B41" s="101"/>
      <c r="C41" s="1" t="s">
        <v>510</v>
      </c>
      <c r="D41" s="70" t="s">
        <v>59</v>
      </c>
      <c r="E41" s="96">
        <v>44512</v>
      </c>
      <c r="F41" s="1" t="s">
        <v>60</v>
      </c>
      <c r="G41" s="96">
        <v>44515</v>
      </c>
      <c r="H41" s="1" t="s">
        <v>468</v>
      </c>
      <c r="I41" s="1">
        <v>52</v>
      </c>
      <c r="J41" s="1">
        <v>42</v>
      </c>
      <c r="K41" s="1">
        <v>15</v>
      </c>
      <c r="L41" s="1">
        <v>1</v>
      </c>
      <c r="M41" s="74">
        <v>8.19</v>
      </c>
      <c r="N41" s="90">
        <v>8.19</v>
      </c>
      <c r="O41" s="58">
        <v>7000</v>
      </c>
      <c r="P41" s="59">
        <f>Table224578910112345678910111213141516171819202122232425[[#This Row],[PEMBULATAN]]*O41</f>
        <v>57330</v>
      </c>
    </row>
    <row r="42" spans="1:16" ht="26.25" customHeight="1" x14ac:dyDescent="0.2">
      <c r="A42" s="101"/>
      <c r="B42" s="102"/>
      <c r="C42" s="1" t="s">
        <v>511</v>
      </c>
      <c r="D42" s="70" t="s">
        <v>59</v>
      </c>
      <c r="E42" s="96">
        <v>44512</v>
      </c>
      <c r="F42" s="1" t="s">
        <v>60</v>
      </c>
      <c r="G42" s="96">
        <v>44515</v>
      </c>
      <c r="H42" s="1" t="s">
        <v>468</v>
      </c>
      <c r="I42" s="1">
        <v>45</v>
      </c>
      <c r="J42" s="1">
        <v>32</v>
      </c>
      <c r="K42" s="1">
        <v>25</v>
      </c>
      <c r="L42" s="1">
        <v>10</v>
      </c>
      <c r="M42" s="74">
        <v>9</v>
      </c>
      <c r="N42" s="90">
        <v>10</v>
      </c>
      <c r="O42" s="58">
        <v>7000</v>
      </c>
      <c r="P42" s="59">
        <f>Table224578910112345678910111213141516171819202122232425[[#This Row],[PEMBULATAN]]*O42</f>
        <v>70000</v>
      </c>
    </row>
    <row r="43" spans="1:16" ht="26.25" customHeight="1" x14ac:dyDescent="0.2">
      <c r="A43" s="102"/>
      <c r="B43" s="102" t="s">
        <v>512</v>
      </c>
      <c r="C43" s="98" t="s">
        <v>513</v>
      </c>
      <c r="D43" s="70" t="s">
        <v>59</v>
      </c>
      <c r="E43" s="96">
        <v>44512</v>
      </c>
      <c r="F43" s="1" t="s">
        <v>60</v>
      </c>
      <c r="G43" s="96">
        <v>44515</v>
      </c>
      <c r="H43" s="1" t="s">
        <v>468</v>
      </c>
      <c r="I43" s="1">
        <v>30</v>
      </c>
      <c r="J43" s="1">
        <v>20</v>
      </c>
      <c r="K43" s="1">
        <v>15</v>
      </c>
      <c r="L43" s="1">
        <v>1</v>
      </c>
      <c r="M43" s="74">
        <v>2.25</v>
      </c>
      <c r="N43" s="90">
        <v>2.25</v>
      </c>
      <c r="O43" s="58">
        <v>7000</v>
      </c>
      <c r="P43" s="59">
        <f>Table224578910112345678910111213141516171819202122232425[[#This Row],[PEMBULATAN]]*O43</f>
        <v>15750</v>
      </c>
    </row>
    <row r="44" spans="1:16" ht="22.5" customHeight="1" x14ac:dyDescent="0.2">
      <c r="A44" s="145" t="s">
        <v>30</v>
      </c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7"/>
      <c r="M44" s="73">
        <f>SUBTOTAL(109,Table224578910112345678910111213141516171819202122232425[KG VOLUME])</f>
        <v>747.28775000000019</v>
      </c>
      <c r="N44" s="62">
        <f>SUM(N3:N43)</f>
        <v>794.56725000000029</v>
      </c>
      <c r="O44" s="148">
        <f>SUM(P3:P43)</f>
        <v>5561970.75</v>
      </c>
      <c r="P44" s="149"/>
    </row>
    <row r="45" spans="1:16" ht="18" customHeight="1" x14ac:dyDescent="0.2">
      <c r="A45" s="80"/>
      <c r="B45" s="50" t="s">
        <v>42</v>
      </c>
      <c r="C45" s="49"/>
      <c r="D45" s="51" t="s">
        <v>43</v>
      </c>
      <c r="E45" s="80"/>
      <c r="F45" s="80"/>
      <c r="G45" s="80"/>
      <c r="H45" s="80"/>
      <c r="I45" s="80"/>
      <c r="J45" s="80"/>
      <c r="K45" s="80"/>
      <c r="L45" s="80"/>
      <c r="M45" s="81"/>
      <c r="N45" s="82" t="s">
        <v>52</v>
      </c>
      <c r="O45" s="83"/>
      <c r="P45" s="83">
        <v>0</v>
      </c>
    </row>
    <row r="46" spans="1:16" ht="18" customHeight="1" thickBot="1" x14ac:dyDescent="0.25">
      <c r="A46" s="80"/>
      <c r="B46" s="50"/>
      <c r="C46" s="49"/>
      <c r="D46" s="51"/>
      <c r="E46" s="80"/>
      <c r="F46" s="80"/>
      <c r="G46" s="80"/>
      <c r="H46" s="80"/>
      <c r="I46" s="80"/>
      <c r="J46" s="80"/>
      <c r="K46" s="80"/>
      <c r="L46" s="80"/>
      <c r="M46" s="81"/>
      <c r="N46" s="84" t="s">
        <v>53</v>
      </c>
      <c r="O46" s="85"/>
      <c r="P46" s="85">
        <f>O44-P45</f>
        <v>5561970.75</v>
      </c>
    </row>
    <row r="47" spans="1:16" ht="18" customHeight="1" x14ac:dyDescent="0.2">
      <c r="A47" s="11"/>
      <c r="H47" s="57"/>
      <c r="N47" s="56" t="s">
        <v>31</v>
      </c>
      <c r="P47" s="63">
        <f>P46*1%</f>
        <v>55619.707500000004</v>
      </c>
    </row>
    <row r="48" spans="1:16" ht="18" customHeight="1" thickBot="1" x14ac:dyDescent="0.25">
      <c r="A48" s="11"/>
      <c r="H48" s="57"/>
      <c r="N48" s="56" t="s">
        <v>54</v>
      </c>
      <c r="P48" s="65">
        <f>P46*2%</f>
        <v>111239.41500000001</v>
      </c>
    </row>
    <row r="49" spans="1:16" ht="18" customHeight="1" x14ac:dyDescent="0.2">
      <c r="A49" s="11"/>
      <c r="H49" s="57"/>
      <c r="N49" s="60" t="s">
        <v>32</v>
      </c>
      <c r="O49" s="61"/>
      <c r="P49" s="64">
        <f>P46+P47-P48</f>
        <v>5506351.0424999995</v>
      </c>
    </row>
    <row r="51" spans="1:16" x14ac:dyDescent="0.2">
      <c r="A51" s="11"/>
      <c r="H51" s="57"/>
      <c r="P51" s="65"/>
    </row>
    <row r="52" spans="1:16" x14ac:dyDescent="0.2">
      <c r="A52" s="11"/>
      <c r="H52" s="57"/>
      <c r="O52" s="52"/>
      <c r="P52" s="65"/>
    </row>
    <row r="53" spans="1:16" s="3" customFormat="1" x14ac:dyDescent="0.25">
      <c r="A53" s="11"/>
      <c r="B53" s="2"/>
      <c r="C53" s="2"/>
      <c r="E53" s="12"/>
      <c r="H53" s="57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57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57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57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57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57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57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57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57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57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57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57"/>
      <c r="N64" s="15"/>
      <c r="O64" s="15"/>
      <c r="P64" s="15"/>
    </row>
  </sheetData>
  <mergeCells count="2">
    <mergeCell ref="A44:L44"/>
    <mergeCell ref="O44:P44"/>
  </mergeCells>
  <conditionalFormatting sqref="C3:C18">
    <cfRule type="duplicateValues" dxfId="299" priority="10"/>
  </conditionalFormatting>
  <conditionalFormatting sqref="C3:C18">
    <cfRule type="duplicateValues" dxfId="298" priority="11"/>
  </conditionalFormatting>
  <conditionalFormatting sqref="C19:C37">
    <cfRule type="duplicateValues" dxfId="297" priority="8"/>
  </conditionalFormatting>
  <conditionalFormatting sqref="C19:C37">
    <cfRule type="duplicateValues" dxfId="296" priority="9"/>
  </conditionalFormatting>
  <conditionalFormatting sqref="C42 C38:C40">
    <cfRule type="duplicateValues" dxfId="295" priority="6"/>
  </conditionalFormatting>
  <conditionalFormatting sqref="C42 C38:C40">
    <cfRule type="duplicateValues" dxfId="294" priority="7"/>
  </conditionalFormatting>
  <conditionalFormatting sqref="C43">
    <cfRule type="duplicateValues" dxfId="293" priority="1"/>
  </conditionalFormatting>
  <conditionalFormatting sqref="C43">
    <cfRule type="duplicateValues" dxfId="292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I11" sqref="I11"/>
    </sheetView>
  </sheetViews>
  <sheetFormatPr defaultRowHeight="15" x14ac:dyDescent="0.2"/>
  <cols>
    <col min="1" max="1" width="8" style="4" customWidth="1"/>
    <col min="2" max="2" width="19.5703125" style="2" customWidth="1"/>
    <col min="3" max="3" width="16" style="2" customWidth="1"/>
    <col min="4" max="4" width="9.7109375" style="3" customWidth="1"/>
    <col min="5" max="5" width="8.85546875" style="12" customWidth="1"/>
    <col min="6" max="6" width="16" style="3" customWidth="1"/>
    <col min="7" max="7" width="9.5703125" style="3" customWidth="1"/>
    <col min="8" max="8" width="15.855468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3">
        <v>403860</v>
      </c>
      <c r="B3" s="103" t="s">
        <v>514</v>
      </c>
      <c r="C3" s="92" t="s">
        <v>515</v>
      </c>
      <c r="D3" s="106" t="s">
        <v>59</v>
      </c>
      <c r="E3" s="93">
        <v>44512</v>
      </c>
      <c r="F3" s="92" t="s">
        <v>60</v>
      </c>
      <c r="G3" s="93">
        <v>44515</v>
      </c>
      <c r="H3" s="92" t="s">
        <v>468</v>
      </c>
      <c r="I3" s="92">
        <v>122</v>
      </c>
      <c r="J3" s="92">
        <v>52</v>
      </c>
      <c r="K3" s="92">
        <v>18</v>
      </c>
      <c r="L3" s="92">
        <v>10</v>
      </c>
      <c r="M3" s="111">
        <v>28.547999999999998</v>
      </c>
      <c r="N3" s="109">
        <v>28.547999999999998</v>
      </c>
      <c r="O3" s="58">
        <v>7000</v>
      </c>
      <c r="P3" s="59">
        <f>Table22457891011234567891011121314151617181920212223242526[[#This Row],[PEMBULATAN]]*O3</f>
        <v>199836</v>
      </c>
    </row>
    <row r="4" spans="1:16" ht="26.25" customHeight="1" x14ac:dyDescent="0.2">
      <c r="A4" s="104"/>
      <c r="B4" s="104"/>
      <c r="C4" s="92" t="s">
        <v>516</v>
      </c>
      <c r="D4" s="106" t="s">
        <v>59</v>
      </c>
      <c r="E4" s="93">
        <v>44512</v>
      </c>
      <c r="F4" s="92" t="s">
        <v>60</v>
      </c>
      <c r="G4" s="93">
        <v>44515</v>
      </c>
      <c r="H4" s="92" t="s">
        <v>468</v>
      </c>
      <c r="I4" s="92">
        <v>35</v>
      </c>
      <c r="J4" s="92">
        <v>35</v>
      </c>
      <c r="K4" s="92">
        <v>25</v>
      </c>
      <c r="L4" s="92">
        <v>20</v>
      </c>
      <c r="M4" s="111">
        <v>7.65625</v>
      </c>
      <c r="N4" s="109">
        <v>20</v>
      </c>
      <c r="O4" s="58">
        <v>7000</v>
      </c>
      <c r="P4" s="59">
        <f>Table22457891011234567891011121314151617181920212223242526[[#This Row],[PEMBULATAN]]*O4</f>
        <v>140000</v>
      </c>
    </row>
    <row r="5" spans="1:16" ht="26.25" customHeight="1" x14ac:dyDescent="0.2">
      <c r="A5" s="104"/>
      <c r="B5" s="104"/>
      <c r="C5" s="92" t="s">
        <v>517</v>
      </c>
      <c r="D5" s="106" t="s">
        <v>59</v>
      </c>
      <c r="E5" s="93">
        <v>44512</v>
      </c>
      <c r="F5" s="92" t="s">
        <v>60</v>
      </c>
      <c r="G5" s="93">
        <v>44515</v>
      </c>
      <c r="H5" s="92" t="s">
        <v>468</v>
      </c>
      <c r="I5" s="92">
        <v>60</v>
      </c>
      <c r="J5" s="92">
        <v>40</v>
      </c>
      <c r="K5" s="92">
        <v>22</v>
      </c>
      <c r="L5" s="92">
        <v>23</v>
      </c>
      <c r="M5" s="111">
        <v>13.2</v>
      </c>
      <c r="N5" s="109">
        <v>23</v>
      </c>
      <c r="O5" s="58">
        <v>7000</v>
      </c>
      <c r="P5" s="59">
        <f>Table22457891011234567891011121314151617181920212223242526[[#This Row],[PEMBULATAN]]*O5</f>
        <v>161000</v>
      </c>
    </row>
    <row r="6" spans="1:16" ht="26.25" customHeight="1" x14ac:dyDescent="0.2">
      <c r="A6" s="104"/>
      <c r="B6" s="104"/>
      <c r="C6" s="92" t="s">
        <v>518</v>
      </c>
      <c r="D6" s="106" t="s">
        <v>59</v>
      </c>
      <c r="E6" s="93">
        <v>44512</v>
      </c>
      <c r="F6" s="92" t="s">
        <v>60</v>
      </c>
      <c r="G6" s="93">
        <v>44515</v>
      </c>
      <c r="H6" s="92" t="s">
        <v>468</v>
      </c>
      <c r="I6" s="92">
        <v>45</v>
      </c>
      <c r="J6" s="92">
        <v>35</v>
      </c>
      <c r="K6" s="92">
        <v>20</v>
      </c>
      <c r="L6" s="92">
        <v>11</v>
      </c>
      <c r="M6" s="111">
        <v>7.875</v>
      </c>
      <c r="N6" s="109">
        <v>11</v>
      </c>
      <c r="O6" s="58">
        <v>7000</v>
      </c>
      <c r="P6" s="59">
        <f>Table22457891011234567891011121314151617181920212223242526[[#This Row],[PEMBULATAN]]*O6</f>
        <v>77000</v>
      </c>
    </row>
    <row r="7" spans="1:16" ht="26.25" customHeight="1" x14ac:dyDescent="0.2">
      <c r="A7" s="104"/>
      <c r="B7" s="104"/>
      <c r="C7" s="92" t="s">
        <v>519</v>
      </c>
      <c r="D7" s="106" t="s">
        <v>59</v>
      </c>
      <c r="E7" s="93">
        <v>44512</v>
      </c>
      <c r="F7" s="92" t="s">
        <v>60</v>
      </c>
      <c r="G7" s="93">
        <v>44515</v>
      </c>
      <c r="H7" s="92" t="s">
        <v>468</v>
      </c>
      <c r="I7" s="92">
        <v>36</v>
      </c>
      <c r="J7" s="92">
        <v>20</v>
      </c>
      <c r="K7" s="92">
        <v>20</v>
      </c>
      <c r="L7" s="92">
        <v>7</v>
      </c>
      <c r="M7" s="111">
        <v>3.6</v>
      </c>
      <c r="N7" s="109">
        <v>7</v>
      </c>
      <c r="O7" s="58">
        <v>7000</v>
      </c>
      <c r="P7" s="59">
        <f>Table22457891011234567891011121314151617181920212223242526[[#This Row],[PEMBULATAN]]*O7</f>
        <v>49000</v>
      </c>
    </row>
    <row r="8" spans="1:16" ht="26.25" customHeight="1" x14ac:dyDescent="0.2">
      <c r="A8" s="104"/>
      <c r="B8" s="105"/>
      <c r="C8" s="92" t="s">
        <v>520</v>
      </c>
      <c r="D8" s="106" t="s">
        <v>59</v>
      </c>
      <c r="E8" s="93">
        <v>44512</v>
      </c>
      <c r="F8" s="92" t="s">
        <v>60</v>
      </c>
      <c r="G8" s="93">
        <v>44515</v>
      </c>
      <c r="H8" s="92" t="s">
        <v>468</v>
      </c>
      <c r="I8" s="92">
        <v>77</v>
      </c>
      <c r="J8" s="92">
        <v>47</v>
      </c>
      <c r="K8" s="92">
        <v>21</v>
      </c>
      <c r="L8" s="92">
        <v>15</v>
      </c>
      <c r="M8" s="111">
        <v>18.999749999999999</v>
      </c>
      <c r="N8" s="109">
        <v>18.999749999999999</v>
      </c>
      <c r="O8" s="58">
        <v>7000</v>
      </c>
      <c r="P8" s="59">
        <f>Table22457891011234567891011121314151617181920212223242526[[#This Row],[PEMBULATAN]]*O8</f>
        <v>132998.25</v>
      </c>
    </row>
    <row r="9" spans="1:16" ht="26.25" customHeight="1" x14ac:dyDescent="0.2">
      <c r="A9" s="105"/>
      <c r="B9" s="105" t="s">
        <v>521</v>
      </c>
      <c r="C9" s="92" t="s">
        <v>522</v>
      </c>
      <c r="D9" s="106" t="s">
        <v>59</v>
      </c>
      <c r="E9" s="93">
        <v>44512</v>
      </c>
      <c r="F9" s="92" t="s">
        <v>60</v>
      </c>
      <c r="G9" s="93">
        <v>44515</v>
      </c>
      <c r="H9" s="92" t="s">
        <v>468</v>
      </c>
      <c r="I9" s="92">
        <v>46</v>
      </c>
      <c r="J9" s="92">
        <v>40</v>
      </c>
      <c r="K9" s="92">
        <v>10</v>
      </c>
      <c r="L9" s="92">
        <v>4</v>
      </c>
      <c r="M9" s="111">
        <v>4.5999999999999996</v>
      </c>
      <c r="N9" s="109">
        <v>4.5999999999999996</v>
      </c>
      <c r="O9" s="58">
        <v>7000</v>
      </c>
      <c r="P9" s="59">
        <f>Table22457891011234567891011121314151617181920212223242526[[#This Row],[PEMBULATAN]]*O9</f>
        <v>32199.999999999996</v>
      </c>
    </row>
    <row r="10" spans="1:16" ht="22.5" customHeight="1" x14ac:dyDescent="0.2">
      <c r="A10" s="145" t="s">
        <v>30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7"/>
      <c r="M10" s="73">
        <f>SUBTOTAL(109,Table22457891011234567891011121314151617181920212223242526[KG VOLUME])</f>
        <v>84.478999999999999</v>
      </c>
      <c r="N10" s="62">
        <f>SUM(N3:N9)</f>
        <v>113.14775</v>
      </c>
      <c r="O10" s="148">
        <f>SUM(P3:P9)</f>
        <v>792034.25</v>
      </c>
      <c r="P10" s="149"/>
    </row>
    <row r="11" spans="1:16" ht="18" customHeight="1" x14ac:dyDescent="0.2">
      <c r="A11" s="80"/>
      <c r="B11" s="50" t="s">
        <v>42</v>
      </c>
      <c r="C11" s="49"/>
      <c r="D11" s="51" t="s">
        <v>43</v>
      </c>
      <c r="E11" s="80"/>
      <c r="F11" s="80"/>
      <c r="G11" s="80"/>
      <c r="H11" s="80"/>
      <c r="I11" s="80"/>
      <c r="J11" s="80"/>
      <c r="K11" s="80"/>
      <c r="L11" s="80"/>
      <c r="M11" s="81"/>
      <c r="N11" s="82" t="s">
        <v>52</v>
      </c>
      <c r="O11" s="83"/>
      <c r="P11" s="83">
        <v>0</v>
      </c>
    </row>
    <row r="12" spans="1:16" ht="18" customHeight="1" thickBot="1" x14ac:dyDescent="0.25">
      <c r="A12" s="80"/>
      <c r="B12" s="50"/>
      <c r="C12" s="49"/>
      <c r="D12" s="51"/>
      <c r="E12" s="80"/>
      <c r="F12" s="80"/>
      <c r="G12" s="80"/>
      <c r="H12" s="80"/>
      <c r="I12" s="80"/>
      <c r="J12" s="80"/>
      <c r="K12" s="80"/>
      <c r="L12" s="80"/>
      <c r="M12" s="81"/>
      <c r="N12" s="84" t="s">
        <v>53</v>
      </c>
      <c r="O12" s="85"/>
      <c r="P12" s="85">
        <f>O10-P11</f>
        <v>792034.25</v>
      </c>
    </row>
    <row r="13" spans="1:16" ht="18" customHeight="1" x14ac:dyDescent="0.2">
      <c r="A13" s="11"/>
      <c r="H13" s="57"/>
      <c r="N13" s="56" t="s">
        <v>31</v>
      </c>
      <c r="P13" s="63">
        <f>P12*1%</f>
        <v>7920.3424999999997</v>
      </c>
    </row>
    <row r="14" spans="1:16" ht="18" customHeight="1" thickBot="1" x14ac:dyDescent="0.25">
      <c r="A14" s="11"/>
      <c r="H14" s="57"/>
      <c r="N14" s="56" t="s">
        <v>54</v>
      </c>
      <c r="P14" s="65">
        <f>P12*2%</f>
        <v>15840.684999999999</v>
      </c>
    </row>
    <row r="15" spans="1:16" ht="18" customHeight="1" x14ac:dyDescent="0.2">
      <c r="A15" s="11"/>
      <c r="H15" s="57"/>
      <c r="N15" s="60" t="s">
        <v>32</v>
      </c>
      <c r="O15" s="61"/>
      <c r="P15" s="64">
        <f>P12+P13-P14</f>
        <v>784113.90749999997</v>
      </c>
    </row>
    <row r="17" spans="1:16" x14ac:dyDescent="0.2">
      <c r="A17" s="11"/>
      <c r="H17" s="57"/>
      <c r="P17" s="65"/>
    </row>
    <row r="18" spans="1:16" x14ac:dyDescent="0.2">
      <c r="A18" s="11"/>
      <c r="H18" s="57"/>
      <c r="O18" s="52"/>
      <c r="P18" s="65"/>
    </row>
    <row r="19" spans="1:16" s="3" customFormat="1" x14ac:dyDescent="0.25">
      <c r="A19" s="11"/>
      <c r="B19" s="2"/>
      <c r="C19" s="2"/>
      <c r="E19" s="12"/>
      <c r="H19" s="57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7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7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7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7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7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7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57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57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57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57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57"/>
      <c r="N30" s="15"/>
      <c r="O30" s="15"/>
      <c r="P30" s="15"/>
    </row>
  </sheetData>
  <mergeCells count="2">
    <mergeCell ref="A10:L10"/>
    <mergeCell ref="O10:P10"/>
  </mergeCells>
  <conditionalFormatting sqref="C3:C8">
    <cfRule type="duplicateValues" dxfId="276" priority="2"/>
  </conditionalFormatting>
  <conditionalFormatting sqref="C9">
    <cfRule type="duplicateValues" dxfId="27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5" sqref="O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.42578125" style="3" customWidth="1"/>
    <col min="5" max="5" width="9.42578125" style="12" customWidth="1"/>
    <col min="6" max="6" width="16" style="3" customWidth="1"/>
    <col min="7" max="7" width="9.5703125" style="3" customWidth="1"/>
    <col min="8" max="8" width="16" style="6" customWidth="1"/>
    <col min="9" max="11" width="4.42578125" style="3" customWidth="1"/>
    <col min="12" max="12" width="5" style="3" customWidth="1"/>
    <col min="13" max="13" width="8.5703125" style="3" customWidth="1"/>
    <col min="14" max="14" width="12.28515625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3">
        <v>403942</v>
      </c>
      <c r="B3" s="103" t="s">
        <v>523</v>
      </c>
      <c r="C3" s="92" t="s">
        <v>524</v>
      </c>
      <c r="D3" s="106" t="s">
        <v>59</v>
      </c>
      <c r="E3" s="93">
        <v>44513</v>
      </c>
      <c r="F3" s="92" t="s">
        <v>60</v>
      </c>
      <c r="G3" s="93">
        <v>44515</v>
      </c>
      <c r="H3" s="92" t="s">
        <v>468</v>
      </c>
      <c r="I3" s="92">
        <v>43</v>
      </c>
      <c r="J3" s="92">
        <v>43</v>
      </c>
      <c r="K3" s="92">
        <v>26</v>
      </c>
      <c r="L3" s="92">
        <v>13</v>
      </c>
      <c r="M3" s="94">
        <v>12.0185</v>
      </c>
      <c r="N3" s="109">
        <v>13</v>
      </c>
      <c r="O3" s="58">
        <v>7000</v>
      </c>
      <c r="P3" s="59">
        <f>Table2245789101123456789101112131415161718192021222324252627[[#This Row],[PEMBULATAN]]*O3</f>
        <v>91000</v>
      </c>
    </row>
    <row r="4" spans="1:16" ht="26.25" customHeight="1" x14ac:dyDescent="0.2">
      <c r="A4" s="104"/>
      <c r="B4" s="104"/>
      <c r="C4" s="92" t="s">
        <v>525</v>
      </c>
      <c r="D4" s="106" t="s">
        <v>59</v>
      </c>
      <c r="E4" s="93">
        <v>44513</v>
      </c>
      <c r="F4" s="92" t="s">
        <v>60</v>
      </c>
      <c r="G4" s="93">
        <v>44515</v>
      </c>
      <c r="H4" s="92" t="s">
        <v>468</v>
      </c>
      <c r="I4" s="92">
        <v>127</v>
      </c>
      <c r="J4" s="92">
        <v>60</v>
      </c>
      <c r="K4" s="92">
        <v>17</v>
      </c>
      <c r="L4" s="92">
        <v>15</v>
      </c>
      <c r="M4" s="94">
        <v>32.384999999999998</v>
      </c>
      <c r="N4" s="109">
        <v>33</v>
      </c>
      <c r="O4" s="58">
        <v>7000</v>
      </c>
      <c r="P4" s="59">
        <f>Table2245789101123456789101112131415161718192021222324252627[[#This Row],[PEMBULATAN]]*O4</f>
        <v>231000</v>
      </c>
    </row>
    <row r="5" spans="1:16" ht="26.25" customHeight="1" x14ac:dyDescent="0.2">
      <c r="A5" s="104"/>
      <c r="B5" s="104"/>
      <c r="C5" s="92" t="s">
        <v>526</v>
      </c>
      <c r="D5" s="106" t="s">
        <v>59</v>
      </c>
      <c r="E5" s="93">
        <v>44513</v>
      </c>
      <c r="F5" s="92" t="s">
        <v>60</v>
      </c>
      <c r="G5" s="93">
        <v>44515</v>
      </c>
      <c r="H5" s="92" t="s">
        <v>468</v>
      </c>
      <c r="I5" s="92">
        <v>54</v>
      </c>
      <c r="J5" s="92">
        <v>46</v>
      </c>
      <c r="K5" s="92">
        <v>42</v>
      </c>
      <c r="L5" s="92">
        <v>20</v>
      </c>
      <c r="M5" s="94">
        <v>26.082000000000001</v>
      </c>
      <c r="N5" s="109">
        <v>26.082000000000001</v>
      </c>
      <c r="O5" s="58">
        <v>7000</v>
      </c>
      <c r="P5" s="59">
        <f>Table2245789101123456789101112131415161718192021222324252627[[#This Row],[PEMBULATAN]]*O5</f>
        <v>182574</v>
      </c>
    </row>
    <row r="6" spans="1:16" ht="26.25" customHeight="1" x14ac:dyDescent="0.2">
      <c r="A6" s="104"/>
      <c r="B6" s="104"/>
      <c r="C6" s="92" t="s">
        <v>527</v>
      </c>
      <c r="D6" s="106" t="s">
        <v>59</v>
      </c>
      <c r="E6" s="93">
        <v>44513</v>
      </c>
      <c r="F6" s="92" t="s">
        <v>60</v>
      </c>
      <c r="G6" s="93">
        <v>44515</v>
      </c>
      <c r="H6" s="92" t="s">
        <v>468</v>
      </c>
      <c r="I6" s="92">
        <v>66</v>
      </c>
      <c r="J6" s="92">
        <v>40</v>
      </c>
      <c r="K6" s="92">
        <v>25</v>
      </c>
      <c r="L6" s="92">
        <v>7</v>
      </c>
      <c r="M6" s="94">
        <v>16.5</v>
      </c>
      <c r="N6" s="109">
        <v>16.5</v>
      </c>
      <c r="O6" s="58">
        <v>7000</v>
      </c>
      <c r="P6" s="59">
        <f>Table2245789101123456789101112131415161718192021222324252627[[#This Row],[PEMBULATAN]]*O6</f>
        <v>115500</v>
      </c>
    </row>
    <row r="7" spans="1:16" ht="26.25" customHeight="1" x14ac:dyDescent="0.2">
      <c r="A7" s="104"/>
      <c r="B7" s="105"/>
      <c r="C7" s="92" t="s">
        <v>528</v>
      </c>
      <c r="D7" s="106" t="s">
        <v>59</v>
      </c>
      <c r="E7" s="93">
        <v>44513</v>
      </c>
      <c r="F7" s="92" t="s">
        <v>60</v>
      </c>
      <c r="G7" s="93">
        <v>44515</v>
      </c>
      <c r="H7" s="92" t="s">
        <v>468</v>
      </c>
      <c r="I7" s="92">
        <v>52</v>
      </c>
      <c r="J7" s="92">
        <v>40</v>
      </c>
      <c r="K7" s="92">
        <v>31</v>
      </c>
      <c r="L7" s="92">
        <v>6</v>
      </c>
      <c r="M7" s="94">
        <v>16.12</v>
      </c>
      <c r="N7" s="109">
        <v>16.12</v>
      </c>
      <c r="O7" s="58">
        <v>7000</v>
      </c>
      <c r="P7" s="59">
        <f>Table2245789101123456789101112131415161718192021222324252627[[#This Row],[PEMBULATAN]]*O7</f>
        <v>112840</v>
      </c>
    </row>
    <row r="8" spans="1:16" ht="26.25" customHeight="1" x14ac:dyDescent="0.2">
      <c r="A8" s="105"/>
      <c r="B8" s="105" t="s">
        <v>529</v>
      </c>
      <c r="C8" s="92" t="s">
        <v>530</v>
      </c>
      <c r="D8" s="106" t="s">
        <v>59</v>
      </c>
      <c r="E8" s="93">
        <v>44513</v>
      </c>
      <c r="F8" s="92" t="s">
        <v>60</v>
      </c>
      <c r="G8" s="93">
        <v>44515</v>
      </c>
      <c r="H8" s="92" t="s">
        <v>468</v>
      </c>
      <c r="I8" s="92">
        <v>98</v>
      </c>
      <c r="J8" s="92">
        <v>50</v>
      </c>
      <c r="K8" s="92">
        <v>14</v>
      </c>
      <c r="L8" s="92">
        <v>20</v>
      </c>
      <c r="M8" s="94">
        <v>17.149999999999999</v>
      </c>
      <c r="N8" s="109">
        <v>20</v>
      </c>
      <c r="O8" s="58">
        <v>7000</v>
      </c>
      <c r="P8" s="59">
        <f>Table2245789101123456789101112131415161718192021222324252627[[#This Row],[PEMBULATAN]]*O8</f>
        <v>140000</v>
      </c>
    </row>
    <row r="9" spans="1:16" ht="22.5" customHeight="1" x14ac:dyDescent="0.2">
      <c r="A9" s="145" t="s">
        <v>30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7"/>
      <c r="M9" s="73">
        <f>SUBTOTAL(109,Table2245789101123456789101112131415161718192021222324252627[KG VOLUME])</f>
        <v>120.25550000000001</v>
      </c>
      <c r="N9" s="62">
        <f>SUM(N3:N8)</f>
        <v>124.702</v>
      </c>
      <c r="O9" s="148">
        <f>SUM(P3:P8)</f>
        <v>872914</v>
      </c>
      <c r="P9" s="149"/>
    </row>
    <row r="10" spans="1:16" ht="18" customHeight="1" x14ac:dyDescent="0.2">
      <c r="A10" s="80"/>
      <c r="B10" s="50" t="s">
        <v>42</v>
      </c>
      <c r="C10" s="49"/>
      <c r="D10" s="51" t="s">
        <v>43</v>
      </c>
      <c r="E10" s="80"/>
      <c r="F10" s="80"/>
      <c r="G10" s="80"/>
      <c r="H10" s="80"/>
      <c r="I10" s="80"/>
      <c r="J10" s="80"/>
      <c r="K10" s="80"/>
      <c r="L10" s="80"/>
      <c r="M10" s="81"/>
      <c r="N10" s="82" t="s">
        <v>52</v>
      </c>
      <c r="O10" s="83"/>
      <c r="P10" s="83">
        <v>0</v>
      </c>
    </row>
    <row r="11" spans="1:16" ht="18" customHeight="1" thickBot="1" x14ac:dyDescent="0.25">
      <c r="A11" s="80"/>
      <c r="B11" s="50"/>
      <c r="C11" s="49"/>
      <c r="D11" s="51"/>
      <c r="E11" s="80"/>
      <c r="F11" s="80"/>
      <c r="G11" s="80"/>
      <c r="H11" s="80"/>
      <c r="I11" s="80"/>
      <c r="J11" s="80"/>
      <c r="K11" s="80"/>
      <c r="L11" s="80"/>
      <c r="M11" s="81"/>
      <c r="N11" s="84" t="s">
        <v>53</v>
      </c>
      <c r="O11" s="85"/>
      <c r="P11" s="85">
        <f>O9-P10</f>
        <v>872914</v>
      </c>
    </row>
    <row r="12" spans="1:16" ht="18" customHeight="1" x14ac:dyDescent="0.2">
      <c r="A12" s="11"/>
      <c r="H12" s="57"/>
      <c r="N12" s="56" t="s">
        <v>31</v>
      </c>
      <c r="P12" s="63">
        <f>P11*1%</f>
        <v>8729.14</v>
      </c>
    </row>
    <row r="13" spans="1:16" ht="18" customHeight="1" thickBot="1" x14ac:dyDescent="0.25">
      <c r="A13" s="11"/>
      <c r="H13" s="57"/>
      <c r="N13" s="56" t="s">
        <v>54</v>
      </c>
      <c r="P13" s="65">
        <f>P11*2%</f>
        <v>17458.28</v>
      </c>
    </row>
    <row r="14" spans="1:16" ht="18" customHeight="1" x14ac:dyDescent="0.2">
      <c r="A14" s="11"/>
      <c r="H14" s="57"/>
      <c r="N14" s="60" t="s">
        <v>32</v>
      </c>
      <c r="O14" s="61"/>
      <c r="P14" s="64">
        <f>P11+P12-P13</f>
        <v>864184.86</v>
      </c>
    </row>
    <row r="16" spans="1:16" x14ac:dyDescent="0.2">
      <c r="A16" s="11"/>
      <c r="H16" s="57"/>
      <c r="P16" s="65"/>
    </row>
    <row r="17" spans="1:16" x14ac:dyDescent="0.2">
      <c r="A17" s="11"/>
      <c r="H17" s="57"/>
      <c r="O17" s="52"/>
      <c r="P17" s="65"/>
    </row>
    <row r="18" spans="1:16" s="3" customFormat="1" x14ac:dyDescent="0.25">
      <c r="A18" s="11"/>
      <c r="B18" s="2"/>
      <c r="C18" s="2"/>
      <c r="E18" s="12"/>
      <c r="H18" s="57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57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7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7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7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7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7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7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57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57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57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57"/>
      <c r="N29" s="15"/>
      <c r="O29" s="15"/>
      <c r="P29" s="15"/>
    </row>
  </sheetData>
  <mergeCells count="2">
    <mergeCell ref="A9:L9"/>
    <mergeCell ref="O9:P9"/>
  </mergeCells>
  <conditionalFormatting sqref="C3:C7">
    <cfRule type="duplicateValues" dxfId="259" priority="2"/>
  </conditionalFormatting>
  <conditionalFormatting sqref="C8">
    <cfRule type="duplicateValues" dxfId="258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9"/>
  <sheetViews>
    <sheetView zoomScale="110" zoomScaleNormal="110" workbookViewId="0">
      <pane xSplit="3" ySplit="2" topLeftCell="D42" activePane="bottomRight" state="frozen"/>
      <selection pane="topRight" activeCell="B1" sqref="B1"/>
      <selection pane="bottomLeft" activeCell="A3" sqref="A3"/>
      <selection pane="bottomRight" activeCell="F44" sqref="F44"/>
    </sheetView>
  </sheetViews>
  <sheetFormatPr defaultRowHeight="15" x14ac:dyDescent="0.2"/>
  <cols>
    <col min="1" max="1" width="8" style="4" customWidth="1"/>
    <col min="2" max="2" width="19.5703125" style="2" customWidth="1"/>
    <col min="3" max="3" width="16.7109375" style="2" customWidth="1"/>
    <col min="4" max="4" width="9.140625" style="3" customWidth="1"/>
    <col min="5" max="5" width="9" style="12" customWidth="1"/>
    <col min="6" max="6" width="16" style="3" customWidth="1"/>
    <col min="7" max="7" width="9.5703125" style="3" customWidth="1"/>
    <col min="8" max="8" width="15.5703125" style="6" customWidth="1"/>
    <col min="9" max="11" width="4.42578125" style="3" customWidth="1"/>
    <col min="12" max="12" width="5" style="3" customWidth="1"/>
    <col min="13" max="13" width="8.5703125" style="3" customWidth="1"/>
    <col min="14" max="14" width="12.28515625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3">
        <v>403864</v>
      </c>
      <c r="B3" s="103" t="s">
        <v>531</v>
      </c>
      <c r="C3" s="1" t="s">
        <v>532</v>
      </c>
      <c r="D3" s="92" t="s">
        <v>59</v>
      </c>
      <c r="E3" s="93">
        <v>44513</v>
      </c>
      <c r="F3" s="92" t="s">
        <v>60</v>
      </c>
      <c r="G3" s="93">
        <v>44515</v>
      </c>
      <c r="H3" s="92" t="s">
        <v>468</v>
      </c>
      <c r="I3" s="92">
        <v>94</v>
      </c>
      <c r="J3" s="92">
        <v>30</v>
      </c>
      <c r="K3" s="92">
        <v>48</v>
      </c>
      <c r="L3" s="92">
        <v>15</v>
      </c>
      <c r="M3" s="94">
        <v>33.840000000000003</v>
      </c>
      <c r="N3" s="109">
        <v>33.840000000000003</v>
      </c>
      <c r="O3" s="58">
        <v>7000</v>
      </c>
      <c r="P3" s="59">
        <f>Table224578910112345678910111213141516171819202122232425262728[[#This Row],[PEMBULATAN]]*O3</f>
        <v>236880.00000000003</v>
      </c>
    </row>
    <row r="4" spans="1:16" ht="26.25" customHeight="1" x14ac:dyDescent="0.2">
      <c r="A4" s="104"/>
      <c r="B4" s="104"/>
      <c r="C4" s="1" t="s">
        <v>533</v>
      </c>
      <c r="D4" s="92" t="s">
        <v>59</v>
      </c>
      <c r="E4" s="93">
        <v>44513</v>
      </c>
      <c r="F4" s="92" t="s">
        <v>60</v>
      </c>
      <c r="G4" s="93">
        <v>44515</v>
      </c>
      <c r="H4" s="92" t="s">
        <v>468</v>
      </c>
      <c r="I4" s="92">
        <v>40</v>
      </c>
      <c r="J4" s="92">
        <v>40</v>
      </c>
      <c r="K4" s="92">
        <v>40</v>
      </c>
      <c r="L4" s="92">
        <v>12</v>
      </c>
      <c r="M4" s="94">
        <v>16</v>
      </c>
      <c r="N4" s="109">
        <v>16</v>
      </c>
      <c r="O4" s="58">
        <v>7000</v>
      </c>
      <c r="P4" s="59">
        <f>Table224578910112345678910111213141516171819202122232425262728[[#This Row],[PEMBULATAN]]*O4</f>
        <v>112000</v>
      </c>
    </row>
    <row r="5" spans="1:16" ht="26.25" customHeight="1" x14ac:dyDescent="0.2">
      <c r="A5" s="104"/>
      <c r="B5" s="104"/>
      <c r="C5" s="113" t="s">
        <v>534</v>
      </c>
      <c r="D5" s="92" t="s">
        <v>59</v>
      </c>
      <c r="E5" s="93">
        <v>44513</v>
      </c>
      <c r="F5" s="92" t="s">
        <v>60</v>
      </c>
      <c r="G5" s="93">
        <v>44515</v>
      </c>
      <c r="H5" s="92" t="s">
        <v>468</v>
      </c>
      <c r="I5" s="92">
        <v>100</v>
      </c>
      <c r="J5" s="92">
        <v>39</v>
      </c>
      <c r="K5" s="92">
        <v>6</v>
      </c>
      <c r="L5" s="92">
        <v>3</v>
      </c>
      <c r="M5" s="94">
        <v>5.85</v>
      </c>
      <c r="N5" s="109">
        <v>5.85</v>
      </c>
      <c r="O5" s="58">
        <v>7000</v>
      </c>
      <c r="P5" s="59">
        <f>Table224578910112345678910111213141516171819202122232425262728[[#This Row],[PEMBULATAN]]*O5</f>
        <v>40950</v>
      </c>
    </row>
    <row r="6" spans="1:16" ht="26.25" customHeight="1" x14ac:dyDescent="0.2">
      <c r="A6" s="104"/>
      <c r="B6" s="104"/>
      <c r="C6" s="1" t="s">
        <v>535</v>
      </c>
      <c r="D6" s="92" t="s">
        <v>59</v>
      </c>
      <c r="E6" s="93">
        <v>44513</v>
      </c>
      <c r="F6" s="92" t="s">
        <v>60</v>
      </c>
      <c r="G6" s="93">
        <v>44515</v>
      </c>
      <c r="H6" s="92" t="s">
        <v>468</v>
      </c>
      <c r="I6" s="92">
        <v>32</v>
      </c>
      <c r="J6" s="92">
        <v>30</v>
      </c>
      <c r="K6" s="92">
        <v>30</v>
      </c>
      <c r="L6" s="92">
        <v>5</v>
      </c>
      <c r="M6" s="94">
        <v>7.2</v>
      </c>
      <c r="N6" s="109">
        <v>7.2</v>
      </c>
      <c r="O6" s="58">
        <v>7000</v>
      </c>
      <c r="P6" s="59">
        <f>Table224578910112345678910111213141516171819202122232425262728[[#This Row],[PEMBULATAN]]*O6</f>
        <v>50400</v>
      </c>
    </row>
    <row r="7" spans="1:16" ht="26.25" customHeight="1" x14ac:dyDescent="0.2">
      <c r="A7" s="104"/>
      <c r="B7" s="104"/>
      <c r="C7" s="1" t="s">
        <v>536</v>
      </c>
      <c r="D7" s="92" t="s">
        <v>59</v>
      </c>
      <c r="E7" s="93">
        <v>44513</v>
      </c>
      <c r="F7" s="92" t="s">
        <v>60</v>
      </c>
      <c r="G7" s="93">
        <v>44515</v>
      </c>
      <c r="H7" s="92" t="s">
        <v>468</v>
      </c>
      <c r="I7" s="92">
        <v>74</v>
      </c>
      <c r="J7" s="92">
        <v>33</v>
      </c>
      <c r="K7" s="92">
        <v>18</v>
      </c>
      <c r="L7" s="92">
        <v>7</v>
      </c>
      <c r="M7" s="94">
        <v>10.989000000000001</v>
      </c>
      <c r="N7" s="109">
        <v>10.989000000000001</v>
      </c>
      <c r="O7" s="58">
        <v>7000</v>
      </c>
      <c r="P7" s="59">
        <f>Table224578910112345678910111213141516171819202122232425262728[[#This Row],[PEMBULATAN]]*O7</f>
        <v>76923</v>
      </c>
    </row>
    <row r="8" spans="1:16" ht="26.25" customHeight="1" x14ac:dyDescent="0.2">
      <c r="A8" s="104"/>
      <c r="B8" s="104"/>
      <c r="C8" s="1" t="s">
        <v>537</v>
      </c>
      <c r="D8" s="92" t="s">
        <v>59</v>
      </c>
      <c r="E8" s="93">
        <v>44513</v>
      </c>
      <c r="F8" s="92" t="s">
        <v>60</v>
      </c>
      <c r="G8" s="93">
        <v>44515</v>
      </c>
      <c r="H8" s="92" t="s">
        <v>468</v>
      </c>
      <c r="I8" s="92">
        <v>30</v>
      </c>
      <c r="J8" s="92">
        <v>19</v>
      </c>
      <c r="K8" s="92">
        <v>24</v>
      </c>
      <c r="L8" s="92">
        <v>6</v>
      </c>
      <c r="M8" s="94">
        <v>3.42</v>
      </c>
      <c r="N8" s="109">
        <v>6</v>
      </c>
      <c r="O8" s="58">
        <v>7000</v>
      </c>
      <c r="P8" s="59">
        <f>Table224578910112345678910111213141516171819202122232425262728[[#This Row],[PEMBULATAN]]*O8</f>
        <v>42000</v>
      </c>
    </row>
    <row r="9" spans="1:16" ht="26.25" customHeight="1" x14ac:dyDescent="0.2">
      <c r="A9" s="104"/>
      <c r="B9" s="104"/>
      <c r="C9" s="92" t="s">
        <v>538</v>
      </c>
      <c r="D9" s="92" t="s">
        <v>59</v>
      </c>
      <c r="E9" s="93">
        <v>44513</v>
      </c>
      <c r="F9" s="92" t="s">
        <v>60</v>
      </c>
      <c r="G9" s="93">
        <v>44515</v>
      </c>
      <c r="H9" s="92" t="s">
        <v>468</v>
      </c>
      <c r="I9" s="92">
        <v>35</v>
      </c>
      <c r="J9" s="92">
        <v>35</v>
      </c>
      <c r="K9" s="92">
        <v>35</v>
      </c>
      <c r="L9" s="92">
        <v>7</v>
      </c>
      <c r="M9" s="94">
        <v>10.71875</v>
      </c>
      <c r="N9" s="109">
        <v>10.71875</v>
      </c>
      <c r="O9" s="58">
        <v>7000</v>
      </c>
      <c r="P9" s="59">
        <f>Table224578910112345678910111213141516171819202122232425262728[[#This Row],[PEMBULATAN]]*O9</f>
        <v>75031.25</v>
      </c>
    </row>
    <row r="10" spans="1:16" ht="26.25" customHeight="1" x14ac:dyDescent="0.2">
      <c r="A10" s="104"/>
      <c r="B10" s="104"/>
      <c r="C10" s="92" t="s">
        <v>539</v>
      </c>
      <c r="D10" s="92" t="s">
        <v>59</v>
      </c>
      <c r="E10" s="93">
        <v>44513</v>
      </c>
      <c r="F10" s="92" t="s">
        <v>60</v>
      </c>
      <c r="G10" s="93">
        <v>44515</v>
      </c>
      <c r="H10" s="92" t="s">
        <v>468</v>
      </c>
      <c r="I10" s="92">
        <v>58</v>
      </c>
      <c r="J10" s="92">
        <v>15</v>
      </c>
      <c r="K10" s="92">
        <v>38</v>
      </c>
      <c r="L10" s="92">
        <v>14</v>
      </c>
      <c r="M10" s="94">
        <v>8.2650000000000006</v>
      </c>
      <c r="N10" s="109">
        <v>14</v>
      </c>
      <c r="O10" s="58">
        <v>7000</v>
      </c>
      <c r="P10" s="59">
        <f>Table224578910112345678910111213141516171819202122232425262728[[#This Row],[PEMBULATAN]]*O10</f>
        <v>98000</v>
      </c>
    </row>
    <row r="11" spans="1:16" ht="26.25" customHeight="1" x14ac:dyDescent="0.2">
      <c r="A11" s="104"/>
      <c r="B11" s="104"/>
      <c r="C11" s="92" t="s">
        <v>540</v>
      </c>
      <c r="D11" s="92" t="s">
        <v>59</v>
      </c>
      <c r="E11" s="93">
        <v>44513</v>
      </c>
      <c r="F11" s="92" t="s">
        <v>60</v>
      </c>
      <c r="G11" s="93">
        <v>44515</v>
      </c>
      <c r="H11" s="92" t="s">
        <v>468</v>
      </c>
      <c r="I11" s="92">
        <v>84</v>
      </c>
      <c r="J11" s="92">
        <v>18</v>
      </c>
      <c r="K11" s="92">
        <v>53</v>
      </c>
      <c r="L11" s="92">
        <v>15</v>
      </c>
      <c r="M11" s="94">
        <v>20.033999999999999</v>
      </c>
      <c r="N11" s="109">
        <v>20.033999999999999</v>
      </c>
      <c r="O11" s="58">
        <v>7000</v>
      </c>
      <c r="P11" s="59">
        <f>Table224578910112345678910111213141516171819202122232425262728[[#This Row],[PEMBULATAN]]*O11</f>
        <v>140238</v>
      </c>
    </row>
    <row r="12" spans="1:16" ht="26.25" customHeight="1" x14ac:dyDescent="0.2">
      <c r="A12" s="104"/>
      <c r="B12" s="104"/>
      <c r="C12" s="92" t="s">
        <v>541</v>
      </c>
      <c r="D12" s="92" t="s">
        <v>59</v>
      </c>
      <c r="E12" s="93">
        <v>44513</v>
      </c>
      <c r="F12" s="92" t="s">
        <v>60</v>
      </c>
      <c r="G12" s="93">
        <v>44515</v>
      </c>
      <c r="H12" s="92" t="s">
        <v>468</v>
      </c>
      <c r="I12" s="92">
        <v>84</v>
      </c>
      <c r="J12" s="92">
        <v>18</v>
      </c>
      <c r="K12" s="92">
        <v>53</v>
      </c>
      <c r="L12" s="92">
        <v>10</v>
      </c>
      <c r="M12" s="94">
        <v>20.033999999999999</v>
      </c>
      <c r="N12" s="109">
        <v>20.033999999999999</v>
      </c>
      <c r="O12" s="58">
        <v>7000</v>
      </c>
      <c r="P12" s="59">
        <f>Table224578910112345678910111213141516171819202122232425262728[[#This Row],[PEMBULATAN]]*O12</f>
        <v>140238</v>
      </c>
    </row>
    <row r="13" spans="1:16" ht="26.25" customHeight="1" x14ac:dyDescent="0.2">
      <c r="A13" s="104"/>
      <c r="B13" s="104"/>
      <c r="C13" s="92" t="s">
        <v>542</v>
      </c>
      <c r="D13" s="92" t="s">
        <v>59</v>
      </c>
      <c r="E13" s="93">
        <v>44513</v>
      </c>
      <c r="F13" s="92" t="s">
        <v>60</v>
      </c>
      <c r="G13" s="93">
        <v>44515</v>
      </c>
      <c r="H13" s="92" t="s">
        <v>468</v>
      </c>
      <c r="I13" s="92">
        <v>69</v>
      </c>
      <c r="J13" s="92">
        <v>28</v>
      </c>
      <c r="K13" s="92">
        <v>45</v>
      </c>
      <c r="L13" s="92">
        <v>10</v>
      </c>
      <c r="M13" s="94">
        <v>21.734999999999999</v>
      </c>
      <c r="N13" s="109">
        <v>21.734999999999999</v>
      </c>
      <c r="O13" s="58">
        <v>7000</v>
      </c>
      <c r="P13" s="59">
        <f>Table224578910112345678910111213141516171819202122232425262728[[#This Row],[PEMBULATAN]]*O13</f>
        <v>152145</v>
      </c>
    </row>
    <row r="14" spans="1:16" ht="26.25" customHeight="1" x14ac:dyDescent="0.2">
      <c r="A14" s="104"/>
      <c r="B14" s="104"/>
      <c r="C14" s="92" t="s">
        <v>543</v>
      </c>
      <c r="D14" s="92" t="s">
        <v>59</v>
      </c>
      <c r="E14" s="93">
        <v>44513</v>
      </c>
      <c r="F14" s="92" t="s">
        <v>60</v>
      </c>
      <c r="G14" s="93">
        <v>44515</v>
      </c>
      <c r="H14" s="92" t="s">
        <v>468</v>
      </c>
      <c r="I14" s="92">
        <v>36</v>
      </c>
      <c r="J14" s="92">
        <v>30</v>
      </c>
      <c r="K14" s="92">
        <v>30</v>
      </c>
      <c r="L14" s="92">
        <v>17</v>
      </c>
      <c r="M14" s="94">
        <v>8.1</v>
      </c>
      <c r="N14" s="109">
        <v>17</v>
      </c>
      <c r="O14" s="58">
        <v>7000</v>
      </c>
      <c r="P14" s="59">
        <f>Table224578910112345678910111213141516171819202122232425262728[[#This Row],[PEMBULATAN]]*O14</f>
        <v>119000</v>
      </c>
    </row>
    <row r="15" spans="1:16" ht="26.25" customHeight="1" x14ac:dyDescent="0.2">
      <c r="A15" s="104"/>
      <c r="B15" s="104"/>
      <c r="C15" s="92" t="s">
        <v>544</v>
      </c>
      <c r="D15" s="92" t="s">
        <v>59</v>
      </c>
      <c r="E15" s="93">
        <v>44513</v>
      </c>
      <c r="F15" s="92" t="s">
        <v>60</v>
      </c>
      <c r="G15" s="93">
        <v>44515</v>
      </c>
      <c r="H15" s="92" t="s">
        <v>468</v>
      </c>
      <c r="I15" s="92">
        <v>54</v>
      </c>
      <c r="J15" s="92">
        <v>50</v>
      </c>
      <c r="K15" s="92">
        <v>12</v>
      </c>
      <c r="L15" s="92">
        <v>7</v>
      </c>
      <c r="M15" s="94">
        <v>8.1</v>
      </c>
      <c r="N15" s="109">
        <v>8.1</v>
      </c>
      <c r="O15" s="58">
        <v>7000</v>
      </c>
      <c r="P15" s="59">
        <f>Table224578910112345678910111213141516171819202122232425262728[[#This Row],[PEMBULATAN]]*O15</f>
        <v>56700</v>
      </c>
    </row>
    <row r="16" spans="1:16" ht="26.25" customHeight="1" x14ac:dyDescent="0.2">
      <c r="A16" s="104"/>
      <c r="B16" s="104"/>
      <c r="C16" s="92" t="s">
        <v>545</v>
      </c>
      <c r="D16" s="92" t="s">
        <v>59</v>
      </c>
      <c r="E16" s="93">
        <v>44513</v>
      </c>
      <c r="F16" s="92" t="s">
        <v>60</v>
      </c>
      <c r="G16" s="93">
        <v>44515</v>
      </c>
      <c r="H16" s="92" t="s">
        <v>468</v>
      </c>
      <c r="I16" s="92">
        <v>82</v>
      </c>
      <c r="J16" s="92">
        <v>33</v>
      </c>
      <c r="K16" s="92">
        <v>57</v>
      </c>
      <c r="L16" s="92">
        <v>31</v>
      </c>
      <c r="M16" s="94">
        <v>38.560499999999998</v>
      </c>
      <c r="N16" s="109">
        <v>38.560499999999998</v>
      </c>
      <c r="O16" s="58">
        <v>7000</v>
      </c>
      <c r="P16" s="59">
        <f>Table224578910112345678910111213141516171819202122232425262728[[#This Row],[PEMBULATAN]]*O16</f>
        <v>269923.5</v>
      </c>
    </row>
    <row r="17" spans="1:16" ht="26.25" customHeight="1" x14ac:dyDescent="0.2">
      <c r="A17" s="104"/>
      <c r="B17" s="104"/>
      <c r="C17" s="92" t="s">
        <v>546</v>
      </c>
      <c r="D17" s="92" t="s">
        <v>59</v>
      </c>
      <c r="E17" s="93">
        <v>44513</v>
      </c>
      <c r="F17" s="92" t="s">
        <v>60</v>
      </c>
      <c r="G17" s="93">
        <v>44515</v>
      </c>
      <c r="H17" s="92" t="s">
        <v>468</v>
      </c>
      <c r="I17" s="92">
        <v>38</v>
      </c>
      <c r="J17" s="92">
        <v>36</v>
      </c>
      <c r="K17" s="92">
        <v>33</v>
      </c>
      <c r="L17" s="92">
        <v>6</v>
      </c>
      <c r="M17" s="94">
        <v>11.286</v>
      </c>
      <c r="N17" s="109">
        <v>11.286</v>
      </c>
      <c r="O17" s="58">
        <v>7000</v>
      </c>
      <c r="P17" s="59">
        <f>Table224578910112345678910111213141516171819202122232425262728[[#This Row],[PEMBULATAN]]*O17</f>
        <v>79002</v>
      </c>
    </row>
    <row r="18" spans="1:16" ht="26.25" customHeight="1" x14ac:dyDescent="0.2">
      <c r="A18" s="104"/>
      <c r="B18" s="104"/>
      <c r="C18" s="92" t="s">
        <v>547</v>
      </c>
      <c r="D18" s="92" t="s">
        <v>59</v>
      </c>
      <c r="E18" s="93">
        <v>44513</v>
      </c>
      <c r="F18" s="92" t="s">
        <v>60</v>
      </c>
      <c r="G18" s="93">
        <v>44515</v>
      </c>
      <c r="H18" s="92" t="s">
        <v>468</v>
      </c>
      <c r="I18" s="92">
        <v>94</v>
      </c>
      <c r="J18" s="92">
        <v>27</v>
      </c>
      <c r="K18" s="92">
        <v>70</v>
      </c>
      <c r="L18" s="92">
        <v>30</v>
      </c>
      <c r="M18" s="94">
        <v>44.414999999999999</v>
      </c>
      <c r="N18" s="109">
        <v>45</v>
      </c>
      <c r="O18" s="58">
        <v>7000</v>
      </c>
      <c r="P18" s="59">
        <f>Table224578910112345678910111213141516171819202122232425262728[[#This Row],[PEMBULATAN]]*O18</f>
        <v>315000</v>
      </c>
    </row>
    <row r="19" spans="1:16" ht="26.25" customHeight="1" x14ac:dyDescent="0.2">
      <c r="A19" s="104"/>
      <c r="B19" s="104"/>
      <c r="C19" s="92" t="s">
        <v>548</v>
      </c>
      <c r="D19" s="92" t="s">
        <v>59</v>
      </c>
      <c r="E19" s="93">
        <v>44513</v>
      </c>
      <c r="F19" s="92" t="s">
        <v>60</v>
      </c>
      <c r="G19" s="93">
        <v>44515</v>
      </c>
      <c r="H19" s="92" t="s">
        <v>468</v>
      </c>
      <c r="I19" s="92">
        <v>64</v>
      </c>
      <c r="J19" s="92">
        <v>59</v>
      </c>
      <c r="K19" s="92">
        <v>18</v>
      </c>
      <c r="L19" s="92">
        <v>13</v>
      </c>
      <c r="M19" s="94">
        <v>16.992000000000001</v>
      </c>
      <c r="N19" s="109">
        <v>16.992000000000001</v>
      </c>
      <c r="O19" s="58">
        <v>7000</v>
      </c>
      <c r="P19" s="59">
        <f>Table224578910112345678910111213141516171819202122232425262728[[#This Row],[PEMBULATAN]]*O19</f>
        <v>118944</v>
      </c>
    </row>
    <row r="20" spans="1:16" ht="26.25" customHeight="1" x14ac:dyDescent="0.2">
      <c r="A20" s="104"/>
      <c r="B20" s="104"/>
      <c r="C20" s="92" t="s">
        <v>549</v>
      </c>
      <c r="D20" s="92" t="s">
        <v>59</v>
      </c>
      <c r="E20" s="93">
        <v>44513</v>
      </c>
      <c r="F20" s="92" t="s">
        <v>60</v>
      </c>
      <c r="G20" s="93">
        <v>44515</v>
      </c>
      <c r="H20" s="92" t="s">
        <v>468</v>
      </c>
      <c r="I20" s="92">
        <v>31</v>
      </c>
      <c r="J20" s="92">
        <v>35</v>
      </c>
      <c r="K20" s="92">
        <v>22</v>
      </c>
      <c r="L20" s="92">
        <v>5</v>
      </c>
      <c r="M20" s="94">
        <v>5.9675000000000002</v>
      </c>
      <c r="N20" s="109">
        <v>5.9675000000000002</v>
      </c>
      <c r="O20" s="58">
        <v>7000</v>
      </c>
      <c r="P20" s="59">
        <f>Table224578910112345678910111213141516171819202122232425262728[[#This Row],[PEMBULATAN]]*O20</f>
        <v>41772.5</v>
      </c>
    </row>
    <row r="21" spans="1:16" ht="26.25" customHeight="1" x14ac:dyDescent="0.2">
      <c r="A21" s="104"/>
      <c r="B21" s="104"/>
      <c r="C21" s="92" t="s">
        <v>550</v>
      </c>
      <c r="D21" s="92" t="s">
        <v>59</v>
      </c>
      <c r="E21" s="93">
        <v>44513</v>
      </c>
      <c r="F21" s="92" t="s">
        <v>60</v>
      </c>
      <c r="G21" s="93">
        <v>44515</v>
      </c>
      <c r="H21" s="92" t="s">
        <v>468</v>
      </c>
      <c r="I21" s="92">
        <v>36</v>
      </c>
      <c r="J21" s="92">
        <v>27</v>
      </c>
      <c r="K21" s="92">
        <v>91</v>
      </c>
      <c r="L21" s="92">
        <v>12</v>
      </c>
      <c r="M21" s="94">
        <v>22.113</v>
      </c>
      <c r="N21" s="109">
        <v>22.113</v>
      </c>
      <c r="O21" s="58">
        <v>7000</v>
      </c>
      <c r="P21" s="59">
        <f>Table224578910112345678910111213141516171819202122232425262728[[#This Row],[PEMBULATAN]]*O21</f>
        <v>154791</v>
      </c>
    </row>
    <row r="22" spans="1:16" ht="26.25" customHeight="1" x14ac:dyDescent="0.2">
      <c r="A22" s="104"/>
      <c r="B22" s="104"/>
      <c r="C22" s="92" t="s">
        <v>551</v>
      </c>
      <c r="D22" s="92" t="s">
        <v>59</v>
      </c>
      <c r="E22" s="93">
        <v>44513</v>
      </c>
      <c r="F22" s="92" t="s">
        <v>60</v>
      </c>
      <c r="G22" s="93">
        <v>44515</v>
      </c>
      <c r="H22" s="92" t="s">
        <v>468</v>
      </c>
      <c r="I22" s="92">
        <v>47</v>
      </c>
      <c r="J22" s="92">
        <v>47</v>
      </c>
      <c r="K22" s="92">
        <v>22</v>
      </c>
      <c r="L22" s="92">
        <v>8</v>
      </c>
      <c r="M22" s="94">
        <v>12.1495</v>
      </c>
      <c r="N22" s="109">
        <v>12.1495</v>
      </c>
      <c r="O22" s="58">
        <v>7000</v>
      </c>
      <c r="P22" s="59">
        <f>Table224578910112345678910111213141516171819202122232425262728[[#This Row],[PEMBULATAN]]*O22</f>
        <v>85046.5</v>
      </c>
    </row>
    <row r="23" spans="1:16" ht="26.25" customHeight="1" x14ac:dyDescent="0.2">
      <c r="A23" s="104"/>
      <c r="B23" s="104"/>
      <c r="C23" s="92" t="s">
        <v>552</v>
      </c>
      <c r="D23" s="92" t="s">
        <v>59</v>
      </c>
      <c r="E23" s="93">
        <v>44513</v>
      </c>
      <c r="F23" s="92" t="s">
        <v>60</v>
      </c>
      <c r="G23" s="93">
        <v>44515</v>
      </c>
      <c r="H23" s="92" t="s">
        <v>468</v>
      </c>
      <c r="I23" s="92">
        <v>31</v>
      </c>
      <c r="J23" s="92">
        <v>20</v>
      </c>
      <c r="K23" s="92">
        <v>35</v>
      </c>
      <c r="L23" s="92">
        <v>10</v>
      </c>
      <c r="M23" s="94">
        <v>5.4249999999999998</v>
      </c>
      <c r="N23" s="109">
        <v>10</v>
      </c>
      <c r="O23" s="58">
        <v>7000</v>
      </c>
      <c r="P23" s="59">
        <f>Table224578910112345678910111213141516171819202122232425262728[[#This Row],[PEMBULATAN]]*O23</f>
        <v>70000</v>
      </c>
    </row>
    <row r="24" spans="1:16" ht="26.25" customHeight="1" x14ac:dyDescent="0.2">
      <c r="A24" s="104"/>
      <c r="B24" s="104"/>
      <c r="C24" s="92" t="s">
        <v>553</v>
      </c>
      <c r="D24" s="92" t="s">
        <v>59</v>
      </c>
      <c r="E24" s="93">
        <v>44513</v>
      </c>
      <c r="F24" s="92" t="s">
        <v>60</v>
      </c>
      <c r="G24" s="93">
        <v>44515</v>
      </c>
      <c r="H24" s="92" t="s">
        <v>468</v>
      </c>
      <c r="I24" s="92">
        <v>45</v>
      </c>
      <c r="J24" s="92">
        <v>29</v>
      </c>
      <c r="K24" s="92">
        <v>38</v>
      </c>
      <c r="L24" s="92">
        <v>7</v>
      </c>
      <c r="M24" s="94">
        <v>12.397500000000001</v>
      </c>
      <c r="N24" s="109">
        <v>13</v>
      </c>
      <c r="O24" s="58">
        <v>7000</v>
      </c>
      <c r="P24" s="59">
        <f>Table224578910112345678910111213141516171819202122232425262728[[#This Row],[PEMBULATAN]]*O24</f>
        <v>91000</v>
      </c>
    </row>
    <row r="25" spans="1:16" ht="26.25" customHeight="1" x14ac:dyDescent="0.2">
      <c r="A25" s="104"/>
      <c r="B25" s="104"/>
      <c r="C25" s="92" t="s">
        <v>554</v>
      </c>
      <c r="D25" s="92" t="s">
        <v>59</v>
      </c>
      <c r="E25" s="93">
        <v>44513</v>
      </c>
      <c r="F25" s="92" t="s">
        <v>60</v>
      </c>
      <c r="G25" s="93">
        <v>44515</v>
      </c>
      <c r="H25" s="92" t="s">
        <v>468</v>
      </c>
      <c r="I25" s="92">
        <v>63</v>
      </c>
      <c r="J25" s="92">
        <v>28</v>
      </c>
      <c r="K25" s="92">
        <v>28</v>
      </c>
      <c r="L25" s="92">
        <v>15</v>
      </c>
      <c r="M25" s="94">
        <v>12.348000000000001</v>
      </c>
      <c r="N25" s="109">
        <v>15</v>
      </c>
      <c r="O25" s="58">
        <v>7000</v>
      </c>
      <c r="P25" s="59">
        <f>Table224578910112345678910111213141516171819202122232425262728[[#This Row],[PEMBULATAN]]*O25</f>
        <v>105000</v>
      </c>
    </row>
    <row r="26" spans="1:16" ht="26.25" customHeight="1" x14ac:dyDescent="0.2">
      <c r="A26" s="104"/>
      <c r="B26" s="104"/>
      <c r="C26" s="92" t="s">
        <v>555</v>
      </c>
      <c r="D26" s="92" t="s">
        <v>59</v>
      </c>
      <c r="E26" s="93">
        <v>44513</v>
      </c>
      <c r="F26" s="92" t="s">
        <v>60</v>
      </c>
      <c r="G26" s="93">
        <v>44515</v>
      </c>
      <c r="H26" s="92" t="s">
        <v>468</v>
      </c>
      <c r="I26" s="92">
        <v>28</v>
      </c>
      <c r="J26" s="92">
        <v>18</v>
      </c>
      <c r="K26" s="92">
        <v>10</v>
      </c>
      <c r="L26" s="92">
        <v>18</v>
      </c>
      <c r="M26" s="94">
        <v>1.26</v>
      </c>
      <c r="N26" s="109">
        <v>18</v>
      </c>
      <c r="O26" s="58">
        <v>7000</v>
      </c>
      <c r="P26" s="59">
        <f>Table224578910112345678910111213141516171819202122232425262728[[#This Row],[PEMBULATAN]]*O26</f>
        <v>126000</v>
      </c>
    </row>
    <row r="27" spans="1:16" ht="26.25" customHeight="1" x14ac:dyDescent="0.2">
      <c r="A27" s="104"/>
      <c r="B27" s="104"/>
      <c r="C27" s="92" t="s">
        <v>556</v>
      </c>
      <c r="D27" s="92" t="s">
        <v>59</v>
      </c>
      <c r="E27" s="93">
        <v>44513</v>
      </c>
      <c r="F27" s="92" t="s">
        <v>60</v>
      </c>
      <c r="G27" s="93">
        <v>44515</v>
      </c>
      <c r="H27" s="92" t="s">
        <v>468</v>
      </c>
      <c r="I27" s="92">
        <v>59</v>
      </c>
      <c r="J27" s="92">
        <v>38</v>
      </c>
      <c r="K27" s="92">
        <v>12</v>
      </c>
      <c r="L27" s="92">
        <v>7</v>
      </c>
      <c r="M27" s="94">
        <v>6.726</v>
      </c>
      <c r="N27" s="109">
        <v>7</v>
      </c>
      <c r="O27" s="58">
        <v>7000</v>
      </c>
      <c r="P27" s="59">
        <f>Table224578910112345678910111213141516171819202122232425262728[[#This Row],[PEMBULATAN]]*O27</f>
        <v>49000</v>
      </c>
    </row>
    <row r="28" spans="1:16" ht="26.25" customHeight="1" x14ac:dyDescent="0.2">
      <c r="A28" s="104"/>
      <c r="B28" s="104"/>
      <c r="C28" s="92" t="s">
        <v>557</v>
      </c>
      <c r="D28" s="92" t="s">
        <v>59</v>
      </c>
      <c r="E28" s="93">
        <v>44513</v>
      </c>
      <c r="F28" s="92" t="s">
        <v>60</v>
      </c>
      <c r="G28" s="93">
        <v>44515</v>
      </c>
      <c r="H28" s="92" t="s">
        <v>468</v>
      </c>
      <c r="I28" s="92">
        <v>34</v>
      </c>
      <c r="J28" s="92">
        <v>36</v>
      </c>
      <c r="K28" s="92">
        <v>48</v>
      </c>
      <c r="L28" s="92">
        <v>10</v>
      </c>
      <c r="M28" s="94">
        <v>14.688000000000001</v>
      </c>
      <c r="N28" s="109">
        <v>14.688000000000001</v>
      </c>
      <c r="O28" s="58">
        <v>7000</v>
      </c>
      <c r="P28" s="59">
        <f>Table224578910112345678910111213141516171819202122232425262728[[#This Row],[PEMBULATAN]]*O28</f>
        <v>102816</v>
      </c>
    </row>
    <row r="29" spans="1:16" ht="26.25" customHeight="1" x14ac:dyDescent="0.2">
      <c r="A29" s="104"/>
      <c r="B29" s="104"/>
      <c r="C29" s="92" t="s">
        <v>558</v>
      </c>
      <c r="D29" s="92" t="s">
        <v>59</v>
      </c>
      <c r="E29" s="93">
        <v>44513</v>
      </c>
      <c r="F29" s="92" t="s">
        <v>60</v>
      </c>
      <c r="G29" s="93">
        <v>44515</v>
      </c>
      <c r="H29" s="92" t="s">
        <v>468</v>
      </c>
      <c r="I29" s="92">
        <v>65</v>
      </c>
      <c r="J29" s="92">
        <v>36</v>
      </c>
      <c r="K29" s="92">
        <v>12</v>
      </c>
      <c r="L29" s="92">
        <v>7</v>
      </c>
      <c r="M29" s="94">
        <v>7.02</v>
      </c>
      <c r="N29" s="109">
        <v>7.02</v>
      </c>
      <c r="O29" s="58">
        <v>7000</v>
      </c>
      <c r="P29" s="59">
        <f>Table224578910112345678910111213141516171819202122232425262728[[#This Row],[PEMBULATAN]]*O29</f>
        <v>49140</v>
      </c>
    </row>
    <row r="30" spans="1:16" ht="26.25" customHeight="1" x14ac:dyDescent="0.2">
      <c r="A30" s="104"/>
      <c r="B30" s="104"/>
      <c r="C30" s="92" t="s">
        <v>559</v>
      </c>
      <c r="D30" s="92" t="s">
        <v>59</v>
      </c>
      <c r="E30" s="93">
        <v>44513</v>
      </c>
      <c r="F30" s="92" t="s">
        <v>60</v>
      </c>
      <c r="G30" s="93">
        <v>44515</v>
      </c>
      <c r="H30" s="92" t="s">
        <v>468</v>
      </c>
      <c r="I30" s="92">
        <v>150</v>
      </c>
      <c r="J30" s="92">
        <v>37</v>
      </c>
      <c r="K30" s="92">
        <v>28</v>
      </c>
      <c r="L30" s="92">
        <v>19</v>
      </c>
      <c r="M30" s="94">
        <v>38.85</v>
      </c>
      <c r="N30" s="109">
        <v>38.85</v>
      </c>
      <c r="O30" s="58">
        <v>7000</v>
      </c>
      <c r="P30" s="59">
        <f>Table224578910112345678910111213141516171819202122232425262728[[#This Row],[PEMBULATAN]]*O30</f>
        <v>271950</v>
      </c>
    </row>
    <row r="31" spans="1:16" ht="26.25" customHeight="1" x14ac:dyDescent="0.2">
      <c r="A31" s="104"/>
      <c r="B31" s="104"/>
      <c r="C31" s="92" t="s">
        <v>560</v>
      </c>
      <c r="D31" s="92" t="s">
        <v>59</v>
      </c>
      <c r="E31" s="93">
        <v>44513</v>
      </c>
      <c r="F31" s="92" t="s">
        <v>60</v>
      </c>
      <c r="G31" s="93">
        <v>44515</v>
      </c>
      <c r="H31" s="92" t="s">
        <v>468</v>
      </c>
      <c r="I31" s="92">
        <v>42</v>
      </c>
      <c r="J31" s="92">
        <v>49</v>
      </c>
      <c r="K31" s="92">
        <v>28</v>
      </c>
      <c r="L31" s="92">
        <v>11</v>
      </c>
      <c r="M31" s="94">
        <v>14.406000000000001</v>
      </c>
      <c r="N31" s="109">
        <v>15</v>
      </c>
      <c r="O31" s="58">
        <v>7000</v>
      </c>
      <c r="P31" s="59">
        <f>Table224578910112345678910111213141516171819202122232425262728[[#This Row],[PEMBULATAN]]*O31</f>
        <v>105000</v>
      </c>
    </row>
    <row r="32" spans="1:16" ht="26.25" customHeight="1" x14ac:dyDescent="0.2">
      <c r="A32" s="104"/>
      <c r="B32" s="104"/>
      <c r="C32" s="92" t="s">
        <v>561</v>
      </c>
      <c r="D32" s="92" t="s">
        <v>59</v>
      </c>
      <c r="E32" s="93">
        <v>44513</v>
      </c>
      <c r="F32" s="92" t="s">
        <v>60</v>
      </c>
      <c r="G32" s="93">
        <v>44515</v>
      </c>
      <c r="H32" s="92" t="s">
        <v>468</v>
      </c>
      <c r="I32" s="92">
        <v>178</v>
      </c>
      <c r="J32" s="92">
        <v>23</v>
      </c>
      <c r="K32" s="92">
        <v>64</v>
      </c>
      <c r="L32" s="92">
        <v>20</v>
      </c>
      <c r="M32" s="94">
        <v>65.504000000000005</v>
      </c>
      <c r="N32" s="109">
        <v>65.504000000000005</v>
      </c>
      <c r="O32" s="58">
        <v>7000</v>
      </c>
      <c r="P32" s="59">
        <f>Table224578910112345678910111213141516171819202122232425262728[[#This Row],[PEMBULATAN]]*O32</f>
        <v>458528.00000000006</v>
      </c>
    </row>
    <row r="33" spans="1:16" ht="26.25" customHeight="1" x14ac:dyDescent="0.2">
      <c r="A33" s="104"/>
      <c r="B33" s="104"/>
      <c r="C33" s="92" t="s">
        <v>562</v>
      </c>
      <c r="D33" s="92" t="s">
        <v>59</v>
      </c>
      <c r="E33" s="93">
        <v>44513</v>
      </c>
      <c r="F33" s="92" t="s">
        <v>60</v>
      </c>
      <c r="G33" s="93">
        <v>44515</v>
      </c>
      <c r="H33" s="92" t="s">
        <v>468</v>
      </c>
      <c r="I33" s="92">
        <v>87</v>
      </c>
      <c r="J33" s="92">
        <v>26</v>
      </c>
      <c r="K33" s="92">
        <v>41</v>
      </c>
      <c r="L33" s="92">
        <v>8</v>
      </c>
      <c r="M33" s="94">
        <v>23.185500000000001</v>
      </c>
      <c r="N33" s="109">
        <v>23.185500000000001</v>
      </c>
      <c r="O33" s="58">
        <v>7000</v>
      </c>
      <c r="P33" s="59">
        <f>Table224578910112345678910111213141516171819202122232425262728[[#This Row],[PEMBULATAN]]*O33</f>
        <v>162298.5</v>
      </c>
    </row>
    <row r="34" spans="1:16" ht="26.25" customHeight="1" x14ac:dyDescent="0.2">
      <c r="A34" s="104"/>
      <c r="B34" s="104"/>
      <c r="C34" s="92" t="s">
        <v>563</v>
      </c>
      <c r="D34" s="92" t="s">
        <v>59</v>
      </c>
      <c r="E34" s="93">
        <v>44513</v>
      </c>
      <c r="F34" s="92" t="s">
        <v>60</v>
      </c>
      <c r="G34" s="93">
        <v>44515</v>
      </c>
      <c r="H34" s="92" t="s">
        <v>468</v>
      </c>
      <c r="I34" s="92">
        <v>70</v>
      </c>
      <c r="J34" s="92">
        <v>60</v>
      </c>
      <c r="K34" s="92">
        <v>37</v>
      </c>
      <c r="L34" s="92">
        <v>16</v>
      </c>
      <c r="M34" s="94">
        <v>38.85</v>
      </c>
      <c r="N34" s="109">
        <v>38.85</v>
      </c>
      <c r="O34" s="58">
        <v>7000</v>
      </c>
      <c r="P34" s="59">
        <f>Table224578910112345678910111213141516171819202122232425262728[[#This Row],[PEMBULATAN]]*O34</f>
        <v>271950</v>
      </c>
    </row>
    <row r="35" spans="1:16" ht="26.25" customHeight="1" x14ac:dyDescent="0.2">
      <c r="A35" s="104"/>
      <c r="B35" s="104"/>
      <c r="C35" s="92" t="s">
        <v>564</v>
      </c>
      <c r="D35" s="92" t="s">
        <v>59</v>
      </c>
      <c r="E35" s="93">
        <v>44513</v>
      </c>
      <c r="F35" s="92" t="s">
        <v>60</v>
      </c>
      <c r="G35" s="93">
        <v>44515</v>
      </c>
      <c r="H35" s="92" t="s">
        <v>468</v>
      </c>
      <c r="I35" s="92">
        <v>60</v>
      </c>
      <c r="J35" s="92">
        <v>37</v>
      </c>
      <c r="K35" s="92">
        <v>36</v>
      </c>
      <c r="L35" s="92">
        <v>14</v>
      </c>
      <c r="M35" s="94">
        <v>19.98</v>
      </c>
      <c r="N35" s="109">
        <v>19.98</v>
      </c>
      <c r="O35" s="58">
        <v>7000</v>
      </c>
      <c r="P35" s="59">
        <f>Table224578910112345678910111213141516171819202122232425262728[[#This Row],[PEMBULATAN]]*O35</f>
        <v>139860</v>
      </c>
    </row>
    <row r="36" spans="1:16" ht="26.25" customHeight="1" x14ac:dyDescent="0.2">
      <c r="A36" s="104"/>
      <c r="B36" s="104"/>
      <c r="C36" s="92" t="s">
        <v>565</v>
      </c>
      <c r="D36" s="92" t="s">
        <v>59</v>
      </c>
      <c r="E36" s="93">
        <v>44513</v>
      </c>
      <c r="F36" s="92" t="s">
        <v>60</v>
      </c>
      <c r="G36" s="93">
        <v>44515</v>
      </c>
      <c r="H36" s="92" t="s">
        <v>468</v>
      </c>
      <c r="I36" s="92">
        <v>42</v>
      </c>
      <c r="J36" s="92">
        <v>30</v>
      </c>
      <c r="K36" s="92">
        <v>36</v>
      </c>
      <c r="L36" s="92">
        <v>18</v>
      </c>
      <c r="M36" s="94">
        <v>11.34</v>
      </c>
      <c r="N36" s="109">
        <v>18</v>
      </c>
      <c r="O36" s="58">
        <v>7000</v>
      </c>
      <c r="P36" s="59">
        <f>Table224578910112345678910111213141516171819202122232425262728[[#This Row],[PEMBULATAN]]*O36</f>
        <v>126000</v>
      </c>
    </row>
    <row r="37" spans="1:16" ht="26.25" customHeight="1" x14ac:dyDescent="0.2">
      <c r="A37" s="104"/>
      <c r="B37" s="104"/>
      <c r="C37" s="92" t="s">
        <v>566</v>
      </c>
      <c r="D37" s="92" t="s">
        <v>59</v>
      </c>
      <c r="E37" s="93">
        <v>44513</v>
      </c>
      <c r="F37" s="92" t="s">
        <v>60</v>
      </c>
      <c r="G37" s="93">
        <v>44515</v>
      </c>
      <c r="H37" s="92" t="s">
        <v>468</v>
      </c>
      <c r="I37" s="92">
        <v>52</v>
      </c>
      <c r="J37" s="92">
        <v>54</v>
      </c>
      <c r="K37" s="92">
        <v>10</v>
      </c>
      <c r="L37" s="92">
        <v>6</v>
      </c>
      <c r="M37" s="94">
        <v>7.02</v>
      </c>
      <c r="N37" s="109">
        <v>7.02</v>
      </c>
      <c r="O37" s="58">
        <v>7000</v>
      </c>
      <c r="P37" s="59">
        <f>Table224578910112345678910111213141516171819202122232425262728[[#This Row],[PEMBULATAN]]*O37</f>
        <v>49140</v>
      </c>
    </row>
    <row r="38" spans="1:16" ht="26.25" customHeight="1" x14ac:dyDescent="0.2">
      <c r="A38" s="104"/>
      <c r="B38" s="104"/>
      <c r="C38" s="92" t="s">
        <v>567</v>
      </c>
      <c r="D38" s="92" t="s">
        <v>59</v>
      </c>
      <c r="E38" s="93">
        <v>44513</v>
      </c>
      <c r="F38" s="92" t="s">
        <v>60</v>
      </c>
      <c r="G38" s="93">
        <v>44515</v>
      </c>
      <c r="H38" s="92" t="s">
        <v>468</v>
      </c>
      <c r="I38" s="92">
        <v>50</v>
      </c>
      <c r="J38" s="92">
        <v>21</v>
      </c>
      <c r="K38" s="92">
        <v>21</v>
      </c>
      <c r="L38" s="92">
        <v>5</v>
      </c>
      <c r="M38" s="94">
        <v>5.5125000000000002</v>
      </c>
      <c r="N38" s="109">
        <v>5.5125000000000002</v>
      </c>
      <c r="O38" s="58">
        <v>7000</v>
      </c>
      <c r="P38" s="59">
        <f>Table224578910112345678910111213141516171819202122232425262728[[#This Row],[PEMBULATAN]]*O38</f>
        <v>38587.5</v>
      </c>
    </row>
    <row r="39" spans="1:16" ht="26.25" customHeight="1" x14ac:dyDescent="0.2">
      <c r="A39" s="104"/>
      <c r="B39" s="104"/>
      <c r="C39" s="92" t="s">
        <v>568</v>
      </c>
      <c r="D39" s="92" t="s">
        <v>59</v>
      </c>
      <c r="E39" s="93">
        <v>44513</v>
      </c>
      <c r="F39" s="92" t="s">
        <v>60</v>
      </c>
      <c r="G39" s="93">
        <v>44515</v>
      </c>
      <c r="H39" s="92" t="s">
        <v>468</v>
      </c>
      <c r="I39" s="92">
        <v>32</v>
      </c>
      <c r="J39" s="92">
        <v>32</v>
      </c>
      <c r="K39" s="92">
        <v>42</v>
      </c>
      <c r="L39" s="92">
        <v>18</v>
      </c>
      <c r="M39" s="94">
        <v>10.752000000000001</v>
      </c>
      <c r="N39" s="109">
        <v>18</v>
      </c>
      <c r="O39" s="58">
        <v>7000</v>
      </c>
      <c r="P39" s="59">
        <f>Table224578910112345678910111213141516171819202122232425262728[[#This Row],[PEMBULATAN]]*O39</f>
        <v>126000</v>
      </c>
    </row>
    <row r="40" spans="1:16" ht="26.25" customHeight="1" x14ac:dyDescent="0.2">
      <c r="A40" s="104"/>
      <c r="B40" s="104"/>
      <c r="C40" s="92" t="s">
        <v>569</v>
      </c>
      <c r="D40" s="92" t="s">
        <v>59</v>
      </c>
      <c r="E40" s="93">
        <v>44513</v>
      </c>
      <c r="F40" s="92" t="s">
        <v>60</v>
      </c>
      <c r="G40" s="93">
        <v>44515</v>
      </c>
      <c r="H40" s="92" t="s">
        <v>468</v>
      </c>
      <c r="I40" s="92">
        <v>28</v>
      </c>
      <c r="J40" s="92">
        <v>36</v>
      </c>
      <c r="K40" s="92">
        <v>25</v>
      </c>
      <c r="L40" s="92">
        <v>10</v>
      </c>
      <c r="M40" s="94">
        <v>6.3</v>
      </c>
      <c r="N40" s="109">
        <v>10</v>
      </c>
      <c r="O40" s="58">
        <v>7000</v>
      </c>
      <c r="P40" s="59">
        <f>Table224578910112345678910111213141516171819202122232425262728[[#This Row],[PEMBULATAN]]*O40</f>
        <v>70000</v>
      </c>
    </row>
    <row r="41" spans="1:16" ht="26.25" customHeight="1" x14ac:dyDescent="0.2">
      <c r="A41" s="104"/>
      <c r="B41" s="104"/>
      <c r="C41" s="92" t="s">
        <v>570</v>
      </c>
      <c r="D41" s="92" t="s">
        <v>59</v>
      </c>
      <c r="E41" s="93">
        <v>44513</v>
      </c>
      <c r="F41" s="92" t="s">
        <v>60</v>
      </c>
      <c r="G41" s="93">
        <v>44515</v>
      </c>
      <c r="H41" s="92" t="s">
        <v>468</v>
      </c>
      <c r="I41" s="92">
        <v>40</v>
      </c>
      <c r="J41" s="92">
        <v>40</v>
      </c>
      <c r="K41" s="92">
        <v>18</v>
      </c>
      <c r="L41" s="92">
        <v>6</v>
      </c>
      <c r="M41" s="94">
        <v>7.2</v>
      </c>
      <c r="N41" s="109">
        <v>7.2</v>
      </c>
      <c r="O41" s="58">
        <v>7000</v>
      </c>
      <c r="P41" s="59">
        <f>Table224578910112345678910111213141516171819202122232425262728[[#This Row],[PEMBULATAN]]*O41</f>
        <v>50400</v>
      </c>
    </row>
    <row r="42" spans="1:16" ht="26.25" customHeight="1" x14ac:dyDescent="0.2">
      <c r="A42" s="104"/>
      <c r="B42" s="104"/>
      <c r="C42" s="92" t="s">
        <v>571</v>
      </c>
      <c r="D42" s="106" t="s">
        <v>59</v>
      </c>
      <c r="E42" s="93">
        <v>44513</v>
      </c>
      <c r="F42" s="92" t="s">
        <v>60</v>
      </c>
      <c r="G42" s="93">
        <v>44515</v>
      </c>
      <c r="H42" s="92" t="s">
        <v>468</v>
      </c>
      <c r="I42" s="92">
        <v>52</v>
      </c>
      <c r="J42" s="92">
        <v>45</v>
      </c>
      <c r="K42" s="92">
        <v>18</v>
      </c>
      <c r="L42" s="92">
        <v>10</v>
      </c>
      <c r="M42" s="94">
        <v>10.53</v>
      </c>
      <c r="N42" s="109">
        <v>10.53</v>
      </c>
      <c r="O42" s="58">
        <v>7000</v>
      </c>
      <c r="P42" s="59">
        <f>Table224578910112345678910111213141516171819202122232425262728[[#This Row],[PEMBULATAN]]*O42</f>
        <v>73710</v>
      </c>
    </row>
    <row r="43" spans="1:16" ht="26.25" customHeight="1" x14ac:dyDescent="0.2">
      <c r="A43" s="104"/>
      <c r="B43" s="105"/>
      <c r="C43" s="92" t="s">
        <v>572</v>
      </c>
      <c r="D43" s="106" t="s">
        <v>59</v>
      </c>
      <c r="E43" s="93">
        <v>44513</v>
      </c>
      <c r="F43" s="92" t="s">
        <v>60</v>
      </c>
      <c r="G43" s="93">
        <v>44515</v>
      </c>
      <c r="H43" s="92" t="s">
        <v>468</v>
      </c>
      <c r="I43" s="92">
        <v>320</v>
      </c>
      <c r="J43" s="92">
        <v>22</v>
      </c>
      <c r="K43" s="92">
        <v>30</v>
      </c>
      <c r="L43" s="92">
        <v>8</v>
      </c>
      <c r="M43" s="94">
        <v>52.8</v>
      </c>
      <c r="N43" s="109">
        <v>52.8</v>
      </c>
      <c r="O43" s="58">
        <v>7000</v>
      </c>
      <c r="P43" s="59">
        <f>Table224578910112345678910111213141516171819202122232425262728[[#This Row],[PEMBULATAN]]*O43</f>
        <v>369600</v>
      </c>
    </row>
    <row r="44" spans="1:16" ht="26.25" customHeight="1" x14ac:dyDescent="0.2">
      <c r="A44" s="104"/>
      <c r="B44" s="92" t="s">
        <v>573</v>
      </c>
      <c r="C44" s="92" t="s">
        <v>574</v>
      </c>
      <c r="D44" s="106" t="s">
        <v>59</v>
      </c>
      <c r="E44" s="93">
        <v>44513</v>
      </c>
      <c r="F44" s="92" t="s">
        <v>60</v>
      </c>
      <c r="G44" s="93">
        <v>44515</v>
      </c>
      <c r="H44" s="92" t="s">
        <v>468</v>
      </c>
      <c r="I44" s="92">
        <v>40</v>
      </c>
      <c r="J44" s="92">
        <v>45</v>
      </c>
      <c r="K44" s="92">
        <v>40</v>
      </c>
      <c r="L44" s="92">
        <v>24</v>
      </c>
      <c r="M44" s="94">
        <v>18</v>
      </c>
      <c r="N44" s="109">
        <v>24</v>
      </c>
      <c r="O44" s="58">
        <v>7000</v>
      </c>
      <c r="P44" s="59">
        <f>Table224578910112345678910111213141516171819202122232425262728[[#This Row],[PEMBULATAN]]*O44</f>
        <v>168000</v>
      </c>
    </row>
    <row r="45" spans="1:16" ht="26.25" customHeight="1" x14ac:dyDescent="0.2">
      <c r="A45" s="104"/>
      <c r="B45" s="104" t="s">
        <v>575</v>
      </c>
      <c r="C45" s="92" t="s">
        <v>576</v>
      </c>
      <c r="D45" s="106" t="s">
        <v>59</v>
      </c>
      <c r="E45" s="93">
        <v>44513</v>
      </c>
      <c r="F45" s="92" t="s">
        <v>60</v>
      </c>
      <c r="G45" s="93">
        <v>44515</v>
      </c>
      <c r="H45" s="92" t="s">
        <v>468</v>
      </c>
      <c r="I45" s="92">
        <v>55</v>
      </c>
      <c r="J45" s="92">
        <v>42</v>
      </c>
      <c r="K45" s="92">
        <v>30</v>
      </c>
      <c r="L45" s="92">
        <v>20</v>
      </c>
      <c r="M45" s="94">
        <v>17.324999999999999</v>
      </c>
      <c r="N45" s="109">
        <v>20</v>
      </c>
      <c r="O45" s="58">
        <v>7000</v>
      </c>
      <c r="P45" s="59">
        <f>Table224578910112345678910111213141516171819202122232425262728[[#This Row],[PEMBULATAN]]*O45</f>
        <v>140000</v>
      </c>
    </row>
    <row r="46" spans="1:16" ht="26.25" customHeight="1" x14ac:dyDescent="0.2">
      <c r="A46" s="104"/>
      <c r="B46" s="104"/>
      <c r="C46" s="92" t="s">
        <v>577</v>
      </c>
      <c r="D46" s="106" t="s">
        <v>59</v>
      </c>
      <c r="E46" s="93">
        <v>44513</v>
      </c>
      <c r="F46" s="92" t="s">
        <v>60</v>
      </c>
      <c r="G46" s="93">
        <v>44515</v>
      </c>
      <c r="H46" s="92" t="s">
        <v>468</v>
      </c>
      <c r="I46" s="92">
        <v>57</v>
      </c>
      <c r="J46" s="92">
        <v>40</v>
      </c>
      <c r="K46" s="92">
        <v>22</v>
      </c>
      <c r="L46" s="92">
        <v>10</v>
      </c>
      <c r="M46" s="94">
        <v>12.54</v>
      </c>
      <c r="N46" s="109">
        <v>12.54</v>
      </c>
      <c r="O46" s="58">
        <v>7000</v>
      </c>
      <c r="P46" s="59">
        <f>Table224578910112345678910111213141516171819202122232425262728[[#This Row],[PEMBULATAN]]*O46</f>
        <v>87780</v>
      </c>
    </row>
    <row r="47" spans="1:16" ht="26.25" customHeight="1" x14ac:dyDescent="0.2">
      <c r="A47" s="104"/>
      <c r="B47" s="104"/>
      <c r="C47" s="92" t="s">
        <v>578</v>
      </c>
      <c r="D47" s="106" t="s">
        <v>59</v>
      </c>
      <c r="E47" s="93">
        <v>44513</v>
      </c>
      <c r="F47" s="92" t="s">
        <v>60</v>
      </c>
      <c r="G47" s="93">
        <v>44515</v>
      </c>
      <c r="H47" s="92" t="s">
        <v>468</v>
      </c>
      <c r="I47" s="92">
        <v>50</v>
      </c>
      <c r="J47" s="92">
        <v>28</v>
      </c>
      <c r="K47" s="92">
        <v>28</v>
      </c>
      <c r="L47" s="92">
        <v>50</v>
      </c>
      <c r="M47" s="94">
        <v>9.8000000000000007</v>
      </c>
      <c r="N47" s="109">
        <v>50</v>
      </c>
      <c r="O47" s="58">
        <v>7000</v>
      </c>
      <c r="P47" s="59">
        <f>Table224578910112345678910111213141516171819202122232425262728[[#This Row],[PEMBULATAN]]*O47</f>
        <v>350000</v>
      </c>
    </row>
    <row r="48" spans="1:16" ht="26.25" customHeight="1" x14ac:dyDescent="0.2">
      <c r="A48" s="105"/>
      <c r="B48" s="105"/>
      <c r="C48" s="92" t="s">
        <v>579</v>
      </c>
      <c r="D48" s="106" t="s">
        <v>59</v>
      </c>
      <c r="E48" s="93">
        <v>44513</v>
      </c>
      <c r="F48" s="92" t="s">
        <v>60</v>
      </c>
      <c r="G48" s="93">
        <v>44515</v>
      </c>
      <c r="H48" s="92" t="s">
        <v>468</v>
      </c>
      <c r="I48" s="92">
        <v>40</v>
      </c>
      <c r="J48" s="92">
        <v>34</v>
      </c>
      <c r="K48" s="92">
        <v>28</v>
      </c>
      <c r="L48" s="92">
        <v>4</v>
      </c>
      <c r="M48" s="94">
        <v>9.52</v>
      </c>
      <c r="N48" s="109">
        <v>9.52</v>
      </c>
      <c r="O48" s="58">
        <v>7000</v>
      </c>
      <c r="P48" s="59">
        <f>Table224578910112345678910111213141516171819202122232425262728[[#This Row],[PEMBULATAN]]*O48</f>
        <v>66640</v>
      </c>
    </row>
    <row r="49" spans="1:16" ht="22.5" customHeight="1" x14ac:dyDescent="0.2">
      <c r="A49" s="145" t="s">
        <v>30</v>
      </c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7"/>
      <c r="M49" s="73">
        <f>SUBTOTAL(109,Table224578910112345678910111213141516171819202122232425262728[KG VOLUME])</f>
        <v>765.04874999999993</v>
      </c>
      <c r="N49" s="62">
        <f>SUM(N3:N48)</f>
        <v>874.76925000000006</v>
      </c>
      <c r="O49" s="148">
        <f>SUM(P3:P48)</f>
        <v>6123384.75</v>
      </c>
      <c r="P49" s="149"/>
    </row>
    <row r="50" spans="1:16" ht="18" customHeight="1" x14ac:dyDescent="0.2">
      <c r="A50" s="80"/>
      <c r="B50" s="50" t="s">
        <v>42</v>
      </c>
      <c r="C50" s="49"/>
      <c r="D50" s="51" t="s">
        <v>43</v>
      </c>
      <c r="E50" s="80"/>
      <c r="F50" s="80"/>
      <c r="G50" s="80"/>
      <c r="H50" s="80"/>
      <c r="I50" s="80"/>
      <c r="J50" s="80"/>
      <c r="K50" s="80"/>
      <c r="L50" s="80"/>
      <c r="M50" s="81"/>
      <c r="N50" s="82" t="s">
        <v>52</v>
      </c>
      <c r="O50" s="83"/>
      <c r="P50" s="83">
        <v>0</v>
      </c>
    </row>
    <row r="51" spans="1:16" ht="18" customHeight="1" thickBot="1" x14ac:dyDescent="0.25">
      <c r="A51" s="80"/>
      <c r="B51" s="50"/>
      <c r="C51" s="49"/>
      <c r="D51" s="51"/>
      <c r="E51" s="80"/>
      <c r="F51" s="80"/>
      <c r="G51" s="80"/>
      <c r="H51" s="80"/>
      <c r="I51" s="80"/>
      <c r="J51" s="80"/>
      <c r="K51" s="80"/>
      <c r="L51" s="80"/>
      <c r="M51" s="81"/>
      <c r="N51" s="84" t="s">
        <v>53</v>
      </c>
      <c r="O51" s="85"/>
      <c r="P51" s="85">
        <f>O49-P50</f>
        <v>6123384.75</v>
      </c>
    </row>
    <row r="52" spans="1:16" ht="18" customHeight="1" x14ac:dyDescent="0.2">
      <c r="A52" s="11"/>
      <c r="H52" s="57"/>
      <c r="N52" s="56" t="s">
        <v>31</v>
      </c>
      <c r="P52" s="63">
        <f>P51*1%</f>
        <v>61233.847500000003</v>
      </c>
    </row>
    <row r="53" spans="1:16" ht="18" customHeight="1" thickBot="1" x14ac:dyDescent="0.25">
      <c r="A53" s="11"/>
      <c r="H53" s="57"/>
      <c r="N53" s="56" t="s">
        <v>54</v>
      </c>
      <c r="P53" s="65">
        <f>P51*2%</f>
        <v>122467.69500000001</v>
      </c>
    </row>
    <row r="54" spans="1:16" ht="18" customHeight="1" x14ac:dyDescent="0.2">
      <c r="A54" s="11"/>
      <c r="H54" s="57"/>
      <c r="N54" s="60" t="s">
        <v>32</v>
      </c>
      <c r="O54" s="61"/>
      <c r="P54" s="64">
        <f>P51+P52-P53</f>
        <v>6062150.9024999999</v>
      </c>
    </row>
    <row r="56" spans="1:16" x14ac:dyDescent="0.2">
      <c r="A56" s="11"/>
      <c r="H56" s="57"/>
      <c r="P56" s="65"/>
    </row>
    <row r="57" spans="1:16" x14ac:dyDescent="0.2">
      <c r="A57" s="11"/>
      <c r="H57" s="57"/>
      <c r="O57" s="52"/>
      <c r="P57" s="65"/>
    </row>
    <row r="58" spans="1:16" s="3" customFormat="1" x14ac:dyDescent="0.25">
      <c r="A58" s="11"/>
      <c r="B58" s="2"/>
      <c r="C58" s="2"/>
      <c r="E58" s="12"/>
      <c r="H58" s="57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57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57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57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57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57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57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57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57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57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57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57"/>
      <c r="N69" s="15"/>
      <c r="O69" s="15"/>
      <c r="P69" s="15"/>
    </row>
  </sheetData>
  <mergeCells count="2">
    <mergeCell ref="A49:L49"/>
    <mergeCell ref="O49:P49"/>
  </mergeCells>
  <conditionalFormatting sqref="C3:C43">
    <cfRule type="duplicateValues" dxfId="242" priority="3"/>
  </conditionalFormatting>
  <conditionalFormatting sqref="C44">
    <cfRule type="duplicateValues" dxfId="241" priority="2"/>
  </conditionalFormatting>
  <conditionalFormatting sqref="C45:C48">
    <cfRule type="duplicateValues" dxfId="240" priority="1"/>
  </conditionalFormatting>
  <hyperlinks>
    <hyperlink ref="C5" r:id="rId1" display="https://www.sicepat.com/"/>
  </hyperlinks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2"/>
  <tableParts count="1"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9"/>
  <sheetViews>
    <sheetView zoomScale="110" zoomScaleNormal="110" workbookViewId="0">
      <pane xSplit="3" ySplit="2" topLeftCell="D20" activePane="bottomRight" state="frozen"/>
      <selection pane="topRight" activeCell="B1" sqref="B1"/>
      <selection pane="bottomLeft" activeCell="A3" sqref="A3"/>
      <selection pane="bottomRight" activeCell="E25" sqref="E2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.42578125" style="3" customWidth="1"/>
    <col min="5" max="5" width="9.85546875" style="12" customWidth="1"/>
    <col min="6" max="6" width="11.140625" style="3" customWidth="1"/>
    <col min="7" max="7" width="9.5703125" style="3" customWidth="1"/>
    <col min="8" max="8" width="15.85546875" style="6" customWidth="1"/>
    <col min="9" max="11" width="4.42578125" style="3" customWidth="1"/>
    <col min="12" max="12" width="5" style="3" customWidth="1"/>
    <col min="13" max="13" width="8.5703125" style="3" customWidth="1"/>
    <col min="14" max="14" width="12.28515625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9.25" customHeight="1" x14ac:dyDescent="0.2">
      <c r="A3" s="103">
        <v>403866</v>
      </c>
      <c r="B3" s="103" t="s">
        <v>580</v>
      </c>
      <c r="C3" s="92" t="s">
        <v>581</v>
      </c>
      <c r="D3" s="106" t="s">
        <v>59</v>
      </c>
      <c r="E3" s="93">
        <v>44513</v>
      </c>
      <c r="F3" s="106" t="s">
        <v>60</v>
      </c>
      <c r="G3" s="93">
        <v>44515</v>
      </c>
      <c r="H3" s="92" t="s">
        <v>468</v>
      </c>
      <c r="I3" s="92">
        <v>123</v>
      </c>
      <c r="J3" s="92">
        <v>5</v>
      </c>
      <c r="K3" s="92">
        <v>7</v>
      </c>
      <c r="L3" s="92">
        <v>10</v>
      </c>
      <c r="M3" s="94">
        <v>1.0762499999999999</v>
      </c>
      <c r="N3" s="109">
        <v>10</v>
      </c>
      <c r="O3" s="58">
        <v>7000</v>
      </c>
      <c r="P3" s="59">
        <f>Table22457891011234567891011121314151617181920212223242526272829[[#This Row],[PEMBULATAN]]*O3</f>
        <v>70000</v>
      </c>
    </row>
    <row r="4" spans="1:16" ht="29.25" customHeight="1" x14ac:dyDescent="0.2">
      <c r="A4" s="104"/>
      <c r="B4" s="104"/>
      <c r="C4" s="92" t="s">
        <v>582</v>
      </c>
      <c r="D4" s="106" t="s">
        <v>59</v>
      </c>
      <c r="E4" s="93">
        <v>44513</v>
      </c>
      <c r="F4" s="106" t="s">
        <v>60</v>
      </c>
      <c r="G4" s="93">
        <v>44515</v>
      </c>
      <c r="H4" s="92" t="s">
        <v>468</v>
      </c>
      <c r="I4" s="92">
        <v>67</v>
      </c>
      <c r="J4" s="92">
        <v>61</v>
      </c>
      <c r="K4" s="92">
        <v>40</v>
      </c>
      <c r="L4" s="92">
        <v>20</v>
      </c>
      <c r="M4" s="94">
        <v>40.869999999999997</v>
      </c>
      <c r="N4" s="109">
        <v>40.869999999999997</v>
      </c>
      <c r="O4" s="58">
        <v>7000</v>
      </c>
      <c r="P4" s="59">
        <f>Table22457891011234567891011121314151617181920212223242526272829[[#This Row],[PEMBULATAN]]*O4</f>
        <v>286090</v>
      </c>
    </row>
    <row r="5" spans="1:16" ht="29.25" customHeight="1" x14ac:dyDescent="0.2">
      <c r="A5" s="104"/>
      <c r="B5" s="104"/>
      <c r="C5" s="1" t="s">
        <v>583</v>
      </c>
      <c r="D5" s="106" t="s">
        <v>59</v>
      </c>
      <c r="E5" s="93">
        <v>44513</v>
      </c>
      <c r="F5" s="106" t="s">
        <v>60</v>
      </c>
      <c r="G5" s="93">
        <v>44515</v>
      </c>
      <c r="H5" s="92" t="s">
        <v>468</v>
      </c>
      <c r="I5" s="92">
        <v>49</v>
      </c>
      <c r="J5" s="92">
        <v>36</v>
      </c>
      <c r="K5" s="92">
        <v>13</v>
      </c>
      <c r="L5" s="92">
        <v>8</v>
      </c>
      <c r="M5" s="94">
        <v>5.7329999999999997</v>
      </c>
      <c r="N5" s="109">
        <v>8</v>
      </c>
      <c r="O5" s="58">
        <v>7000</v>
      </c>
      <c r="P5" s="59">
        <f>Table22457891011234567891011121314151617181920212223242526272829[[#This Row],[PEMBULATAN]]*O5</f>
        <v>56000</v>
      </c>
    </row>
    <row r="6" spans="1:16" ht="29.25" customHeight="1" x14ac:dyDescent="0.2">
      <c r="A6" s="104"/>
      <c r="B6" s="105"/>
      <c r="C6" s="1" t="s">
        <v>584</v>
      </c>
      <c r="D6" s="106" t="s">
        <v>59</v>
      </c>
      <c r="E6" s="93">
        <v>44513</v>
      </c>
      <c r="F6" s="106" t="s">
        <v>60</v>
      </c>
      <c r="G6" s="93">
        <v>44515</v>
      </c>
      <c r="H6" s="92" t="s">
        <v>468</v>
      </c>
      <c r="I6" s="92">
        <v>85</v>
      </c>
      <c r="J6" s="92">
        <v>55</v>
      </c>
      <c r="K6" s="92">
        <v>23</v>
      </c>
      <c r="L6" s="92">
        <v>21</v>
      </c>
      <c r="M6" s="94">
        <v>26.881250000000001</v>
      </c>
      <c r="N6" s="109">
        <v>26.881250000000001</v>
      </c>
      <c r="O6" s="58">
        <v>7000</v>
      </c>
      <c r="P6" s="59">
        <f>Table22457891011234567891011121314151617181920212223242526272829[[#This Row],[PEMBULATAN]]*O6</f>
        <v>188168.75</v>
      </c>
    </row>
    <row r="7" spans="1:16" ht="29.25" customHeight="1" x14ac:dyDescent="0.2">
      <c r="A7" s="104"/>
      <c r="B7" s="104" t="s">
        <v>585</v>
      </c>
      <c r="C7" s="1" t="s">
        <v>586</v>
      </c>
      <c r="D7" s="106" t="s">
        <v>59</v>
      </c>
      <c r="E7" s="93">
        <v>44513</v>
      </c>
      <c r="F7" s="106" t="s">
        <v>60</v>
      </c>
      <c r="G7" s="93">
        <v>44515</v>
      </c>
      <c r="H7" s="92" t="s">
        <v>468</v>
      </c>
      <c r="I7" s="92">
        <v>43</v>
      </c>
      <c r="J7" s="92">
        <v>33</v>
      </c>
      <c r="K7" s="92">
        <v>30</v>
      </c>
      <c r="L7" s="92">
        <v>12</v>
      </c>
      <c r="M7" s="94">
        <v>10.6425</v>
      </c>
      <c r="N7" s="109">
        <v>12</v>
      </c>
      <c r="O7" s="58">
        <v>7000</v>
      </c>
      <c r="P7" s="59">
        <f>Table22457891011234567891011121314151617181920212223242526272829[[#This Row],[PEMBULATAN]]*O7</f>
        <v>84000</v>
      </c>
    </row>
    <row r="8" spans="1:16" ht="29.25" customHeight="1" x14ac:dyDescent="0.2">
      <c r="A8" s="104"/>
      <c r="B8" s="104"/>
      <c r="C8" s="113" t="s">
        <v>587</v>
      </c>
      <c r="D8" s="106" t="s">
        <v>59</v>
      </c>
      <c r="E8" s="93">
        <v>44513</v>
      </c>
      <c r="F8" s="106" t="s">
        <v>60</v>
      </c>
      <c r="G8" s="93">
        <v>44515</v>
      </c>
      <c r="H8" s="92" t="s">
        <v>468</v>
      </c>
      <c r="I8" s="92">
        <v>43</v>
      </c>
      <c r="J8" s="92">
        <v>33</v>
      </c>
      <c r="K8" s="92">
        <v>30</v>
      </c>
      <c r="L8" s="92">
        <v>12</v>
      </c>
      <c r="M8" s="94">
        <v>10.6425</v>
      </c>
      <c r="N8" s="109">
        <v>12</v>
      </c>
      <c r="O8" s="58">
        <v>7000</v>
      </c>
      <c r="P8" s="59">
        <f>Table22457891011234567891011121314151617181920212223242526272829[[#This Row],[PEMBULATAN]]*O8</f>
        <v>84000</v>
      </c>
    </row>
    <row r="9" spans="1:16" ht="29.25" customHeight="1" x14ac:dyDescent="0.2">
      <c r="A9" s="104"/>
      <c r="B9" s="104"/>
      <c r="C9" s="1" t="s">
        <v>588</v>
      </c>
      <c r="D9" s="106" t="s">
        <v>59</v>
      </c>
      <c r="E9" s="93">
        <v>44513</v>
      </c>
      <c r="F9" s="106" t="s">
        <v>60</v>
      </c>
      <c r="G9" s="93">
        <v>44515</v>
      </c>
      <c r="H9" s="92" t="s">
        <v>468</v>
      </c>
      <c r="I9" s="92">
        <v>43</v>
      </c>
      <c r="J9" s="92">
        <v>33</v>
      </c>
      <c r="K9" s="92">
        <v>30</v>
      </c>
      <c r="L9" s="92">
        <v>12</v>
      </c>
      <c r="M9" s="94">
        <v>10.6425</v>
      </c>
      <c r="N9" s="109">
        <v>12</v>
      </c>
      <c r="O9" s="58">
        <v>7000</v>
      </c>
      <c r="P9" s="59">
        <f>Table22457891011234567891011121314151617181920212223242526272829[[#This Row],[PEMBULATAN]]*O9</f>
        <v>84000</v>
      </c>
    </row>
    <row r="10" spans="1:16" ht="29.25" customHeight="1" x14ac:dyDescent="0.2">
      <c r="A10" s="104"/>
      <c r="B10" s="104"/>
      <c r="C10" s="1" t="s">
        <v>589</v>
      </c>
      <c r="D10" s="106" t="s">
        <v>59</v>
      </c>
      <c r="E10" s="93">
        <v>44513</v>
      </c>
      <c r="F10" s="106" t="s">
        <v>60</v>
      </c>
      <c r="G10" s="93">
        <v>44515</v>
      </c>
      <c r="H10" s="92" t="s">
        <v>468</v>
      </c>
      <c r="I10" s="92">
        <v>43</v>
      </c>
      <c r="J10" s="92">
        <v>33</v>
      </c>
      <c r="K10" s="92">
        <v>30</v>
      </c>
      <c r="L10" s="92">
        <v>12</v>
      </c>
      <c r="M10" s="94">
        <v>10.6425</v>
      </c>
      <c r="N10" s="109">
        <v>12</v>
      </c>
      <c r="O10" s="58">
        <v>7000</v>
      </c>
      <c r="P10" s="59">
        <f>Table22457891011234567891011121314151617181920212223242526272829[[#This Row],[PEMBULATAN]]*O10</f>
        <v>84000</v>
      </c>
    </row>
    <row r="11" spans="1:16" ht="29.25" customHeight="1" x14ac:dyDescent="0.2">
      <c r="A11" s="104"/>
      <c r="B11" s="104"/>
      <c r="C11" s="1" t="s">
        <v>590</v>
      </c>
      <c r="D11" s="106" t="s">
        <v>59</v>
      </c>
      <c r="E11" s="93">
        <v>44513</v>
      </c>
      <c r="F11" s="106" t="s">
        <v>60</v>
      </c>
      <c r="G11" s="93">
        <v>44515</v>
      </c>
      <c r="H11" s="92" t="s">
        <v>468</v>
      </c>
      <c r="I11" s="92">
        <v>43</v>
      </c>
      <c r="J11" s="92">
        <v>33</v>
      </c>
      <c r="K11" s="92">
        <v>30</v>
      </c>
      <c r="L11" s="92">
        <v>12</v>
      </c>
      <c r="M11" s="94">
        <v>10.6425</v>
      </c>
      <c r="N11" s="109">
        <v>12</v>
      </c>
      <c r="O11" s="58">
        <v>7000</v>
      </c>
      <c r="P11" s="59">
        <f>Table22457891011234567891011121314151617181920212223242526272829[[#This Row],[PEMBULATAN]]*O11</f>
        <v>84000</v>
      </c>
    </row>
    <row r="12" spans="1:16" ht="29.25" customHeight="1" x14ac:dyDescent="0.2">
      <c r="A12" s="104"/>
      <c r="B12" s="104"/>
      <c r="C12" s="1" t="s">
        <v>591</v>
      </c>
      <c r="D12" s="106" t="s">
        <v>59</v>
      </c>
      <c r="E12" s="93">
        <v>44513</v>
      </c>
      <c r="F12" s="106" t="s">
        <v>60</v>
      </c>
      <c r="G12" s="93">
        <v>44515</v>
      </c>
      <c r="H12" s="92" t="s">
        <v>468</v>
      </c>
      <c r="I12" s="92">
        <v>32</v>
      </c>
      <c r="J12" s="92">
        <v>22</v>
      </c>
      <c r="K12" s="92">
        <v>18</v>
      </c>
      <c r="L12" s="92">
        <v>7</v>
      </c>
      <c r="M12" s="94">
        <v>3.1680000000000001</v>
      </c>
      <c r="N12" s="109">
        <v>7</v>
      </c>
      <c r="O12" s="58">
        <v>7000</v>
      </c>
      <c r="P12" s="59">
        <f>Table22457891011234567891011121314151617181920212223242526272829[[#This Row],[PEMBULATAN]]*O12</f>
        <v>49000</v>
      </c>
    </row>
    <row r="13" spans="1:16" ht="29.25" customHeight="1" x14ac:dyDescent="0.2">
      <c r="A13" s="104"/>
      <c r="B13" s="104"/>
      <c r="C13" s="1" t="s">
        <v>592</v>
      </c>
      <c r="D13" s="106" t="s">
        <v>59</v>
      </c>
      <c r="E13" s="93">
        <v>44513</v>
      </c>
      <c r="F13" s="106" t="s">
        <v>60</v>
      </c>
      <c r="G13" s="93">
        <v>44515</v>
      </c>
      <c r="H13" s="92" t="s">
        <v>468</v>
      </c>
      <c r="I13" s="92">
        <v>32</v>
      </c>
      <c r="J13" s="92">
        <v>22</v>
      </c>
      <c r="K13" s="92">
        <v>18</v>
      </c>
      <c r="L13" s="92">
        <v>7</v>
      </c>
      <c r="M13" s="94">
        <v>3.1680000000000001</v>
      </c>
      <c r="N13" s="109">
        <v>7</v>
      </c>
      <c r="O13" s="58">
        <v>7000</v>
      </c>
      <c r="P13" s="59">
        <f>Table22457891011234567891011121314151617181920212223242526272829[[#This Row],[PEMBULATAN]]*O13</f>
        <v>49000</v>
      </c>
    </row>
    <row r="14" spans="1:16" ht="29.25" customHeight="1" x14ac:dyDescent="0.2">
      <c r="A14" s="104"/>
      <c r="B14" s="104"/>
      <c r="C14" s="1" t="s">
        <v>593</v>
      </c>
      <c r="D14" s="106" t="s">
        <v>59</v>
      </c>
      <c r="E14" s="93">
        <v>44513</v>
      </c>
      <c r="F14" s="106" t="s">
        <v>60</v>
      </c>
      <c r="G14" s="93">
        <v>44515</v>
      </c>
      <c r="H14" s="92" t="s">
        <v>468</v>
      </c>
      <c r="I14" s="92">
        <v>32</v>
      </c>
      <c r="J14" s="92">
        <v>22</v>
      </c>
      <c r="K14" s="92">
        <v>18</v>
      </c>
      <c r="L14" s="92">
        <v>7</v>
      </c>
      <c r="M14" s="94">
        <v>3.1680000000000001</v>
      </c>
      <c r="N14" s="109">
        <v>7</v>
      </c>
      <c r="O14" s="58">
        <v>7000</v>
      </c>
      <c r="P14" s="59">
        <f>Table22457891011234567891011121314151617181920212223242526272829[[#This Row],[PEMBULATAN]]*O14</f>
        <v>49000</v>
      </c>
    </row>
    <row r="15" spans="1:16" ht="29.25" customHeight="1" x14ac:dyDescent="0.2">
      <c r="A15" s="104"/>
      <c r="B15" s="104"/>
      <c r="C15" s="113" t="s">
        <v>594</v>
      </c>
      <c r="D15" s="106" t="s">
        <v>59</v>
      </c>
      <c r="E15" s="93">
        <v>44513</v>
      </c>
      <c r="F15" s="106" t="s">
        <v>60</v>
      </c>
      <c r="G15" s="93">
        <v>44515</v>
      </c>
      <c r="H15" s="92" t="s">
        <v>468</v>
      </c>
      <c r="I15" s="92">
        <v>32</v>
      </c>
      <c r="J15" s="92">
        <v>22</v>
      </c>
      <c r="K15" s="92">
        <v>18</v>
      </c>
      <c r="L15" s="92">
        <v>7</v>
      </c>
      <c r="M15" s="94">
        <v>3.1680000000000001</v>
      </c>
      <c r="N15" s="109">
        <v>7</v>
      </c>
      <c r="O15" s="58">
        <v>7000</v>
      </c>
      <c r="P15" s="59">
        <f>Table22457891011234567891011121314151617181920212223242526272829[[#This Row],[PEMBULATAN]]*O15</f>
        <v>49000</v>
      </c>
    </row>
    <row r="16" spans="1:16" ht="29.25" customHeight="1" x14ac:dyDescent="0.2">
      <c r="A16" s="104"/>
      <c r="B16" s="104"/>
      <c r="C16" s="1" t="s">
        <v>595</v>
      </c>
      <c r="D16" s="106" t="s">
        <v>59</v>
      </c>
      <c r="E16" s="93">
        <v>44513</v>
      </c>
      <c r="F16" s="106" t="s">
        <v>60</v>
      </c>
      <c r="G16" s="93">
        <v>44515</v>
      </c>
      <c r="H16" s="92" t="s">
        <v>468</v>
      </c>
      <c r="I16" s="92">
        <v>32</v>
      </c>
      <c r="J16" s="92">
        <v>22</v>
      </c>
      <c r="K16" s="92">
        <v>18</v>
      </c>
      <c r="L16" s="92">
        <v>7</v>
      </c>
      <c r="M16" s="94">
        <v>3.1680000000000001</v>
      </c>
      <c r="N16" s="109">
        <v>7</v>
      </c>
      <c r="O16" s="58">
        <v>7000</v>
      </c>
      <c r="P16" s="59">
        <f>Table22457891011234567891011121314151617181920212223242526272829[[#This Row],[PEMBULATAN]]*O16</f>
        <v>49000</v>
      </c>
    </row>
    <row r="17" spans="1:16" ht="29.25" customHeight="1" x14ac:dyDescent="0.2">
      <c r="A17" s="104"/>
      <c r="B17" s="104"/>
      <c r="C17" s="1" t="s">
        <v>596</v>
      </c>
      <c r="D17" s="106" t="s">
        <v>59</v>
      </c>
      <c r="E17" s="93">
        <v>44513</v>
      </c>
      <c r="F17" s="106" t="s">
        <v>60</v>
      </c>
      <c r="G17" s="93">
        <v>44515</v>
      </c>
      <c r="H17" s="92" t="s">
        <v>468</v>
      </c>
      <c r="I17" s="92">
        <v>32</v>
      </c>
      <c r="J17" s="92">
        <v>22</v>
      </c>
      <c r="K17" s="92">
        <v>18</v>
      </c>
      <c r="L17" s="92">
        <v>7</v>
      </c>
      <c r="M17" s="94">
        <v>3.1680000000000001</v>
      </c>
      <c r="N17" s="109">
        <v>7</v>
      </c>
      <c r="O17" s="58">
        <v>7000</v>
      </c>
      <c r="P17" s="59">
        <f>Table22457891011234567891011121314151617181920212223242526272829[[#This Row],[PEMBULATAN]]*O17</f>
        <v>49000</v>
      </c>
    </row>
    <row r="18" spans="1:16" ht="29.25" customHeight="1" x14ac:dyDescent="0.2">
      <c r="A18" s="104"/>
      <c r="B18" s="104"/>
      <c r="C18" s="1" t="s">
        <v>597</v>
      </c>
      <c r="D18" s="106" t="s">
        <v>59</v>
      </c>
      <c r="E18" s="93">
        <v>44513</v>
      </c>
      <c r="F18" s="106" t="s">
        <v>60</v>
      </c>
      <c r="G18" s="93">
        <v>44515</v>
      </c>
      <c r="H18" s="92" t="s">
        <v>468</v>
      </c>
      <c r="I18" s="92">
        <v>32</v>
      </c>
      <c r="J18" s="92">
        <v>22</v>
      </c>
      <c r="K18" s="92">
        <v>18</v>
      </c>
      <c r="L18" s="92">
        <v>7</v>
      </c>
      <c r="M18" s="94">
        <v>3.1680000000000001</v>
      </c>
      <c r="N18" s="109">
        <v>7</v>
      </c>
      <c r="O18" s="58">
        <v>7000</v>
      </c>
      <c r="P18" s="59">
        <f>Table22457891011234567891011121314151617181920212223242526272829[[#This Row],[PEMBULATAN]]*O18</f>
        <v>49000</v>
      </c>
    </row>
    <row r="19" spans="1:16" ht="29.25" customHeight="1" x14ac:dyDescent="0.2">
      <c r="A19" s="104"/>
      <c r="B19" s="104"/>
      <c r="C19" s="1" t="s">
        <v>598</v>
      </c>
      <c r="D19" s="106" t="s">
        <v>59</v>
      </c>
      <c r="E19" s="93">
        <v>44513</v>
      </c>
      <c r="F19" s="106" t="s">
        <v>60</v>
      </c>
      <c r="G19" s="93">
        <v>44515</v>
      </c>
      <c r="H19" s="92" t="s">
        <v>468</v>
      </c>
      <c r="I19" s="92">
        <v>32</v>
      </c>
      <c r="J19" s="92">
        <v>22</v>
      </c>
      <c r="K19" s="92">
        <v>18</v>
      </c>
      <c r="L19" s="92">
        <v>7</v>
      </c>
      <c r="M19" s="94">
        <v>3.1680000000000001</v>
      </c>
      <c r="N19" s="109">
        <v>7</v>
      </c>
      <c r="O19" s="58">
        <v>7000</v>
      </c>
      <c r="P19" s="59">
        <f>Table22457891011234567891011121314151617181920212223242526272829[[#This Row],[PEMBULATAN]]*O19</f>
        <v>49000</v>
      </c>
    </row>
    <row r="20" spans="1:16" ht="29.25" customHeight="1" x14ac:dyDescent="0.2">
      <c r="A20" s="104"/>
      <c r="B20" s="104"/>
      <c r="C20" s="1" t="s">
        <v>599</v>
      </c>
      <c r="D20" s="106" t="s">
        <v>59</v>
      </c>
      <c r="E20" s="93">
        <v>44513</v>
      </c>
      <c r="F20" s="106" t="s">
        <v>60</v>
      </c>
      <c r="G20" s="93">
        <v>44515</v>
      </c>
      <c r="H20" s="92" t="s">
        <v>468</v>
      </c>
      <c r="I20" s="92">
        <v>32</v>
      </c>
      <c r="J20" s="92">
        <v>22</v>
      </c>
      <c r="K20" s="92">
        <v>18</v>
      </c>
      <c r="L20" s="92">
        <v>7</v>
      </c>
      <c r="M20" s="94">
        <v>3.1680000000000001</v>
      </c>
      <c r="N20" s="109">
        <v>7</v>
      </c>
      <c r="O20" s="58">
        <v>7000</v>
      </c>
      <c r="P20" s="59">
        <f>Table22457891011234567891011121314151617181920212223242526272829[[#This Row],[PEMBULATAN]]*O20</f>
        <v>49000</v>
      </c>
    </row>
    <row r="21" spans="1:16" ht="29.25" customHeight="1" x14ac:dyDescent="0.2">
      <c r="A21" s="104"/>
      <c r="B21" s="104"/>
      <c r="C21" s="92" t="s">
        <v>600</v>
      </c>
      <c r="D21" s="106" t="s">
        <v>59</v>
      </c>
      <c r="E21" s="93">
        <v>44513</v>
      </c>
      <c r="F21" s="106" t="s">
        <v>60</v>
      </c>
      <c r="G21" s="93">
        <v>44515</v>
      </c>
      <c r="H21" s="92" t="s">
        <v>468</v>
      </c>
      <c r="I21" s="92">
        <v>37</v>
      </c>
      <c r="J21" s="92">
        <v>37</v>
      </c>
      <c r="K21" s="92">
        <v>17</v>
      </c>
      <c r="L21" s="92">
        <v>7</v>
      </c>
      <c r="M21" s="94">
        <v>5.8182499999999999</v>
      </c>
      <c r="N21" s="109">
        <v>7</v>
      </c>
      <c r="O21" s="58">
        <v>7000</v>
      </c>
      <c r="P21" s="59">
        <f>Table22457891011234567891011121314151617181920212223242526272829[[#This Row],[PEMBULATAN]]*O21</f>
        <v>49000</v>
      </c>
    </row>
    <row r="22" spans="1:16" ht="29.25" customHeight="1" x14ac:dyDescent="0.2">
      <c r="A22" s="104"/>
      <c r="B22" s="104"/>
      <c r="C22" s="92" t="s">
        <v>601</v>
      </c>
      <c r="D22" s="106" t="s">
        <v>59</v>
      </c>
      <c r="E22" s="93">
        <v>44513</v>
      </c>
      <c r="F22" s="106" t="s">
        <v>60</v>
      </c>
      <c r="G22" s="93">
        <v>44515</v>
      </c>
      <c r="H22" s="92" t="s">
        <v>468</v>
      </c>
      <c r="I22" s="92">
        <v>37</v>
      </c>
      <c r="J22" s="92">
        <v>37</v>
      </c>
      <c r="K22" s="92">
        <v>17</v>
      </c>
      <c r="L22" s="92">
        <v>7</v>
      </c>
      <c r="M22" s="94">
        <v>5.8182499999999999</v>
      </c>
      <c r="N22" s="109">
        <v>7</v>
      </c>
      <c r="O22" s="58">
        <v>7000</v>
      </c>
      <c r="P22" s="59">
        <f>Table22457891011234567891011121314151617181920212223242526272829[[#This Row],[PEMBULATAN]]*O22</f>
        <v>49000</v>
      </c>
    </row>
    <row r="23" spans="1:16" ht="29.25" customHeight="1" x14ac:dyDescent="0.2">
      <c r="A23" s="104"/>
      <c r="B23" s="104"/>
      <c r="C23" s="92" t="s">
        <v>602</v>
      </c>
      <c r="D23" s="106" t="s">
        <v>59</v>
      </c>
      <c r="E23" s="93">
        <v>44513</v>
      </c>
      <c r="F23" s="106" t="s">
        <v>60</v>
      </c>
      <c r="G23" s="93">
        <v>44515</v>
      </c>
      <c r="H23" s="92" t="s">
        <v>468</v>
      </c>
      <c r="I23" s="92">
        <v>37</v>
      </c>
      <c r="J23" s="92">
        <v>37</v>
      </c>
      <c r="K23" s="92">
        <v>17</v>
      </c>
      <c r="L23" s="92">
        <v>7</v>
      </c>
      <c r="M23" s="94">
        <v>5.8182499999999999</v>
      </c>
      <c r="N23" s="109">
        <v>7</v>
      </c>
      <c r="O23" s="58">
        <v>7000</v>
      </c>
      <c r="P23" s="59">
        <f>Table22457891011234567891011121314151617181920212223242526272829[[#This Row],[PEMBULATAN]]*O23</f>
        <v>49000</v>
      </c>
    </row>
    <row r="24" spans="1:16" ht="29.25" customHeight="1" x14ac:dyDescent="0.2">
      <c r="A24" s="104"/>
      <c r="B24" s="104"/>
      <c r="C24" s="92" t="s">
        <v>603</v>
      </c>
      <c r="D24" s="106" t="s">
        <v>59</v>
      </c>
      <c r="E24" s="93">
        <v>44513</v>
      </c>
      <c r="F24" s="106" t="s">
        <v>60</v>
      </c>
      <c r="G24" s="93">
        <v>44515</v>
      </c>
      <c r="H24" s="92" t="s">
        <v>468</v>
      </c>
      <c r="I24" s="92">
        <v>37</v>
      </c>
      <c r="J24" s="92">
        <v>37</v>
      </c>
      <c r="K24" s="92">
        <v>17</v>
      </c>
      <c r="L24" s="92">
        <v>7</v>
      </c>
      <c r="M24" s="94">
        <v>5.8182499999999999</v>
      </c>
      <c r="N24" s="109">
        <v>7</v>
      </c>
      <c r="O24" s="58">
        <v>7000</v>
      </c>
      <c r="P24" s="59">
        <f>Table22457891011234567891011121314151617181920212223242526272829[[#This Row],[PEMBULATAN]]*O24</f>
        <v>49000</v>
      </c>
    </row>
    <row r="25" spans="1:16" ht="29.25" customHeight="1" x14ac:dyDescent="0.2">
      <c r="A25" s="104"/>
      <c r="B25" s="104"/>
      <c r="C25" s="92" t="s">
        <v>604</v>
      </c>
      <c r="D25" s="106" t="s">
        <v>59</v>
      </c>
      <c r="E25" s="93">
        <v>44513</v>
      </c>
      <c r="F25" s="106" t="s">
        <v>60</v>
      </c>
      <c r="G25" s="93">
        <v>44515</v>
      </c>
      <c r="H25" s="92" t="s">
        <v>468</v>
      </c>
      <c r="I25" s="92">
        <v>24</v>
      </c>
      <c r="J25" s="92">
        <v>24</v>
      </c>
      <c r="K25" s="92">
        <v>17</v>
      </c>
      <c r="L25" s="92">
        <v>12</v>
      </c>
      <c r="M25" s="94">
        <v>2.448</v>
      </c>
      <c r="N25" s="109">
        <v>12</v>
      </c>
      <c r="O25" s="58">
        <v>7000</v>
      </c>
      <c r="P25" s="59">
        <f>Table22457891011234567891011121314151617181920212223242526272829[[#This Row],[PEMBULATAN]]*O25</f>
        <v>84000</v>
      </c>
    </row>
    <row r="26" spans="1:16" ht="29.25" customHeight="1" x14ac:dyDescent="0.2">
      <c r="A26" s="104"/>
      <c r="B26" s="104"/>
      <c r="C26" s="92" t="s">
        <v>605</v>
      </c>
      <c r="D26" s="106" t="s">
        <v>59</v>
      </c>
      <c r="E26" s="93">
        <v>44513</v>
      </c>
      <c r="F26" s="106" t="s">
        <v>60</v>
      </c>
      <c r="G26" s="93">
        <v>44515</v>
      </c>
      <c r="H26" s="92" t="s">
        <v>468</v>
      </c>
      <c r="I26" s="92">
        <v>25</v>
      </c>
      <c r="J26" s="92">
        <v>18</v>
      </c>
      <c r="K26" s="92">
        <v>20</v>
      </c>
      <c r="L26" s="92">
        <v>10</v>
      </c>
      <c r="M26" s="94">
        <v>2.25</v>
      </c>
      <c r="N26" s="109">
        <v>10</v>
      </c>
      <c r="O26" s="58">
        <v>7000</v>
      </c>
      <c r="P26" s="59">
        <f>Table22457891011234567891011121314151617181920212223242526272829[[#This Row],[PEMBULATAN]]*O26</f>
        <v>70000</v>
      </c>
    </row>
    <row r="27" spans="1:16" ht="29.25" customHeight="1" x14ac:dyDescent="0.2">
      <c r="A27" s="104"/>
      <c r="B27" s="104"/>
      <c r="C27" s="92" t="s">
        <v>606</v>
      </c>
      <c r="D27" s="106" t="s">
        <v>59</v>
      </c>
      <c r="E27" s="93">
        <v>44513</v>
      </c>
      <c r="F27" s="106" t="s">
        <v>60</v>
      </c>
      <c r="G27" s="93">
        <v>44515</v>
      </c>
      <c r="H27" s="92" t="s">
        <v>468</v>
      </c>
      <c r="I27" s="92">
        <v>23</v>
      </c>
      <c r="J27" s="92">
        <v>20</v>
      </c>
      <c r="K27" s="92">
        <v>14</v>
      </c>
      <c r="L27" s="92">
        <v>7</v>
      </c>
      <c r="M27" s="94">
        <v>1.61</v>
      </c>
      <c r="N27" s="109">
        <v>7</v>
      </c>
      <c r="O27" s="58">
        <v>7000</v>
      </c>
      <c r="P27" s="59">
        <f>Table22457891011234567891011121314151617181920212223242526272829[[#This Row],[PEMBULATAN]]*O27</f>
        <v>49000</v>
      </c>
    </row>
    <row r="28" spans="1:16" ht="29.25" customHeight="1" x14ac:dyDescent="0.2">
      <c r="A28" s="105"/>
      <c r="B28" s="105"/>
      <c r="C28" s="92" t="s">
        <v>607</v>
      </c>
      <c r="D28" s="106" t="s">
        <v>59</v>
      </c>
      <c r="E28" s="93">
        <v>44513</v>
      </c>
      <c r="F28" s="106" t="s">
        <v>60</v>
      </c>
      <c r="G28" s="93">
        <v>44515</v>
      </c>
      <c r="H28" s="92" t="s">
        <v>468</v>
      </c>
      <c r="I28" s="92">
        <v>49</v>
      </c>
      <c r="J28" s="92">
        <v>28</v>
      </c>
      <c r="K28" s="92">
        <v>20</v>
      </c>
      <c r="L28" s="92">
        <v>7</v>
      </c>
      <c r="M28" s="94">
        <v>6.86</v>
      </c>
      <c r="N28" s="109">
        <v>7</v>
      </c>
      <c r="O28" s="58">
        <v>7000</v>
      </c>
      <c r="P28" s="59">
        <f>Table22457891011234567891011121314151617181920212223242526272829[[#This Row],[PEMBULATAN]]*O28</f>
        <v>49000</v>
      </c>
    </row>
    <row r="29" spans="1:16" ht="22.5" customHeight="1" x14ac:dyDescent="0.2">
      <c r="A29" s="145" t="s">
        <v>30</v>
      </c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7"/>
      <c r="M29" s="73">
        <f>SUBTOTAL(109,Table22457891011234567891011121314151617181920212223242526272829[KG VOLUME])</f>
        <v>192.72600000000008</v>
      </c>
      <c r="N29" s="62">
        <f>SUM(N3:N28)</f>
        <v>272.75125000000003</v>
      </c>
      <c r="O29" s="148">
        <f>SUM(P3:P28)</f>
        <v>1909258.75</v>
      </c>
      <c r="P29" s="149"/>
    </row>
    <row r="30" spans="1:16" ht="18" customHeight="1" x14ac:dyDescent="0.2">
      <c r="A30" s="80"/>
      <c r="B30" s="50" t="s">
        <v>42</v>
      </c>
      <c r="C30" s="49"/>
      <c r="D30" s="51" t="s">
        <v>43</v>
      </c>
      <c r="E30" s="80"/>
      <c r="F30" s="80"/>
      <c r="G30" s="80"/>
      <c r="H30" s="80"/>
      <c r="I30" s="80"/>
      <c r="J30" s="80"/>
      <c r="K30" s="80"/>
      <c r="L30" s="80"/>
      <c r="M30" s="81"/>
      <c r="N30" s="82" t="s">
        <v>52</v>
      </c>
      <c r="O30" s="83"/>
      <c r="P30" s="83">
        <v>0</v>
      </c>
    </row>
    <row r="31" spans="1:16" ht="18" customHeight="1" thickBot="1" x14ac:dyDescent="0.25">
      <c r="A31" s="80"/>
      <c r="B31" s="50"/>
      <c r="C31" s="49"/>
      <c r="D31" s="51"/>
      <c r="E31" s="80"/>
      <c r="F31" s="80"/>
      <c r="G31" s="80"/>
      <c r="H31" s="80"/>
      <c r="I31" s="80"/>
      <c r="J31" s="80"/>
      <c r="K31" s="80"/>
      <c r="L31" s="80"/>
      <c r="M31" s="81"/>
      <c r="N31" s="84" t="s">
        <v>53</v>
      </c>
      <c r="O31" s="85"/>
      <c r="P31" s="85">
        <f>O29-P30</f>
        <v>1909258.75</v>
      </c>
    </row>
    <row r="32" spans="1:16" ht="18" customHeight="1" x14ac:dyDescent="0.2">
      <c r="A32" s="11"/>
      <c r="H32" s="57"/>
      <c r="N32" s="56" t="s">
        <v>31</v>
      </c>
      <c r="P32" s="63">
        <f>P31*1%</f>
        <v>19092.587500000001</v>
      </c>
    </row>
    <row r="33" spans="1:16" ht="18" customHeight="1" thickBot="1" x14ac:dyDescent="0.25">
      <c r="A33" s="11"/>
      <c r="H33" s="57"/>
      <c r="N33" s="56" t="s">
        <v>54</v>
      </c>
      <c r="P33" s="65">
        <f>P31*2%</f>
        <v>38185.175000000003</v>
      </c>
    </row>
    <row r="34" spans="1:16" ht="18" customHeight="1" x14ac:dyDescent="0.2">
      <c r="A34" s="11"/>
      <c r="H34" s="57"/>
      <c r="N34" s="60" t="s">
        <v>32</v>
      </c>
      <c r="O34" s="61"/>
      <c r="P34" s="64">
        <f>P31+P32-P33</f>
        <v>1890166.1624999999</v>
      </c>
    </row>
    <row r="36" spans="1:16" x14ac:dyDescent="0.2">
      <c r="A36" s="11"/>
      <c r="H36" s="57"/>
      <c r="P36" s="65"/>
    </row>
    <row r="37" spans="1:16" x14ac:dyDescent="0.2">
      <c r="A37" s="11"/>
      <c r="H37" s="57"/>
      <c r="O37" s="52"/>
      <c r="P37" s="65"/>
    </row>
    <row r="38" spans="1:16" s="3" customFormat="1" x14ac:dyDescent="0.25">
      <c r="A38" s="11"/>
      <c r="B38" s="2"/>
      <c r="C38" s="2"/>
      <c r="E38" s="12"/>
      <c r="H38" s="57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57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57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57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57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57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57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57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57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57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57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57"/>
      <c r="N49" s="15"/>
      <c r="O49" s="15"/>
      <c r="P49" s="15"/>
    </row>
  </sheetData>
  <mergeCells count="2">
    <mergeCell ref="A29:L29"/>
    <mergeCell ref="O29:P29"/>
  </mergeCells>
  <conditionalFormatting sqref="C3:C6">
    <cfRule type="duplicateValues" dxfId="224" priority="2"/>
  </conditionalFormatting>
  <conditionalFormatting sqref="C7:C28">
    <cfRule type="duplicateValues" dxfId="223" priority="1"/>
  </conditionalFormatting>
  <hyperlinks>
    <hyperlink ref="C8" r:id="rId1" display="https://www.sicepat.com/"/>
    <hyperlink ref="C15" r:id="rId2" display="https://www.sicepat.com/"/>
  </hyperlinks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12" sqref="N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116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15">
        <v>402442</v>
      </c>
      <c r="B3" s="68" t="s">
        <v>62</v>
      </c>
      <c r="C3" s="9" t="s">
        <v>64</v>
      </c>
      <c r="D3" s="70" t="s">
        <v>59</v>
      </c>
      <c r="E3" s="13">
        <v>44501</v>
      </c>
      <c r="F3" s="70" t="s">
        <v>60</v>
      </c>
      <c r="G3" s="13">
        <v>44503</v>
      </c>
      <c r="H3" s="10" t="s">
        <v>61</v>
      </c>
      <c r="I3" s="1">
        <v>53</v>
      </c>
      <c r="J3" s="1">
        <v>45</v>
      </c>
      <c r="K3" s="1">
        <v>17</v>
      </c>
      <c r="L3" s="1">
        <v>10</v>
      </c>
      <c r="M3" s="74">
        <v>10.13625</v>
      </c>
      <c r="N3" s="90">
        <v>10.13625</v>
      </c>
      <c r="O3" s="58">
        <v>7000</v>
      </c>
      <c r="P3" s="59">
        <f>Table2245789101123[[#This Row],[PEMBULATAN]]*O3</f>
        <v>70953.75</v>
      </c>
    </row>
    <row r="4" spans="1:16" ht="26.25" customHeight="1" x14ac:dyDescent="0.2">
      <c r="A4" s="14"/>
      <c r="B4" s="69"/>
      <c r="C4" s="9" t="s">
        <v>65</v>
      </c>
      <c r="D4" s="70" t="s">
        <v>59</v>
      </c>
      <c r="E4" s="13">
        <v>44501</v>
      </c>
      <c r="F4" s="70" t="s">
        <v>60</v>
      </c>
      <c r="G4" s="13">
        <v>44503</v>
      </c>
      <c r="H4" s="10" t="s">
        <v>61</v>
      </c>
      <c r="I4" s="1">
        <v>57</v>
      </c>
      <c r="J4" s="1">
        <v>40</v>
      </c>
      <c r="K4" s="1">
        <v>21</v>
      </c>
      <c r="L4" s="1">
        <v>14</v>
      </c>
      <c r="M4" s="74">
        <v>11.97</v>
      </c>
      <c r="N4" s="90">
        <v>14</v>
      </c>
      <c r="O4" s="58">
        <v>7000</v>
      </c>
      <c r="P4" s="59">
        <f>Table2245789101123[[#This Row],[PEMBULATAN]]*O4</f>
        <v>98000</v>
      </c>
    </row>
    <row r="5" spans="1:16" ht="26.25" customHeight="1" x14ac:dyDescent="0.2">
      <c r="A5" s="14"/>
      <c r="B5" s="14"/>
      <c r="C5" s="9" t="s">
        <v>66</v>
      </c>
      <c r="D5" s="70" t="s">
        <v>59</v>
      </c>
      <c r="E5" s="13">
        <v>44501</v>
      </c>
      <c r="F5" s="70" t="s">
        <v>60</v>
      </c>
      <c r="G5" s="13">
        <v>44503</v>
      </c>
      <c r="H5" s="10" t="s">
        <v>61</v>
      </c>
      <c r="I5" s="1">
        <v>67</v>
      </c>
      <c r="J5" s="1">
        <v>47</v>
      </c>
      <c r="K5" s="1">
        <v>37</v>
      </c>
      <c r="L5" s="1">
        <v>17</v>
      </c>
      <c r="M5" s="74">
        <v>29.128250000000001</v>
      </c>
      <c r="N5" s="90">
        <v>29.128250000000001</v>
      </c>
      <c r="O5" s="58">
        <v>7000</v>
      </c>
      <c r="P5" s="59">
        <f>Table2245789101123[[#This Row],[PEMBULATAN]]*O5</f>
        <v>203897.75</v>
      </c>
    </row>
    <row r="6" spans="1:16" ht="26.25" customHeight="1" x14ac:dyDescent="0.2">
      <c r="A6" s="14"/>
      <c r="B6" s="14"/>
      <c r="C6" s="67" t="s">
        <v>67</v>
      </c>
      <c r="D6" s="72" t="s">
        <v>59</v>
      </c>
      <c r="E6" s="13">
        <v>44501</v>
      </c>
      <c r="F6" s="70" t="s">
        <v>60</v>
      </c>
      <c r="G6" s="13">
        <v>44503</v>
      </c>
      <c r="H6" s="71" t="s">
        <v>61</v>
      </c>
      <c r="I6" s="16">
        <v>63</v>
      </c>
      <c r="J6" s="16">
        <v>42</v>
      </c>
      <c r="K6" s="16">
        <v>25</v>
      </c>
      <c r="L6" s="16">
        <v>12</v>
      </c>
      <c r="M6" s="75">
        <v>16.537500000000001</v>
      </c>
      <c r="N6" s="90">
        <v>16.537500000000001</v>
      </c>
      <c r="O6" s="58">
        <v>7000</v>
      </c>
      <c r="P6" s="59">
        <f>Table2245789101123[[#This Row],[PEMBULATAN]]*O6</f>
        <v>115762.50000000001</v>
      </c>
    </row>
    <row r="7" spans="1:16" ht="26.25" customHeight="1" x14ac:dyDescent="0.2">
      <c r="A7" s="14"/>
      <c r="B7" s="14"/>
      <c r="C7" s="67" t="s">
        <v>68</v>
      </c>
      <c r="D7" s="72" t="s">
        <v>59</v>
      </c>
      <c r="E7" s="13">
        <v>44501</v>
      </c>
      <c r="F7" s="70" t="s">
        <v>60</v>
      </c>
      <c r="G7" s="13">
        <v>44503</v>
      </c>
      <c r="H7" s="71" t="s">
        <v>61</v>
      </c>
      <c r="I7" s="16">
        <v>90</v>
      </c>
      <c r="J7" s="16">
        <v>56</v>
      </c>
      <c r="K7" s="16">
        <v>28</v>
      </c>
      <c r="L7" s="16">
        <v>8</v>
      </c>
      <c r="M7" s="75">
        <v>35.28</v>
      </c>
      <c r="N7" s="90">
        <v>35.28</v>
      </c>
      <c r="O7" s="58">
        <v>7000</v>
      </c>
      <c r="P7" s="59">
        <f>Table2245789101123[[#This Row],[PEMBULATAN]]*O7</f>
        <v>246960</v>
      </c>
    </row>
    <row r="8" spans="1:16" ht="26.25" customHeight="1" x14ac:dyDescent="0.2">
      <c r="A8" s="14"/>
      <c r="B8" s="14"/>
      <c r="C8" s="67" t="s">
        <v>69</v>
      </c>
      <c r="D8" s="72" t="s">
        <v>59</v>
      </c>
      <c r="E8" s="13">
        <v>44501</v>
      </c>
      <c r="F8" s="70" t="s">
        <v>60</v>
      </c>
      <c r="G8" s="13">
        <v>44503</v>
      </c>
      <c r="H8" s="71" t="s">
        <v>61</v>
      </c>
      <c r="I8" s="16">
        <v>63</v>
      </c>
      <c r="J8" s="16">
        <v>43</v>
      </c>
      <c r="K8" s="16">
        <v>13</v>
      </c>
      <c r="L8" s="16">
        <v>6</v>
      </c>
      <c r="M8" s="75">
        <v>8.8042499999999997</v>
      </c>
      <c r="N8" s="90">
        <v>8.8042499999999997</v>
      </c>
      <c r="O8" s="58">
        <v>7000</v>
      </c>
      <c r="P8" s="59">
        <f>Table2245789101123[[#This Row],[PEMBULATAN]]*O8</f>
        <v>61629.75</v>
      </c>
    </row>
    <row r="9" spans="1:16" ht="26.25" customHeight="1" x14ac:dyDescent="0.2">
      <c r="A9" s="14"/>
      <c r="B9" s="107"/>
      <c r="C9" s="67" t="s">
        <v>70</v>
      </c>
      <c r="D9" s="72" t="s">
        <v>59</v>
      </c>
      <c r="E9" s="13">
        <v>44501</v>
      </c>
      <c r="F9" s="70" t="s">
        <v>60</v>
      </c>
      <c r="G9" s="13">
        <v>44503</v>
      </c>
      <c r="H9" s="71" t="s">
        <v>61</v>
      </c>
      <c r="I9" s="16">
        <v>51</v>
      </c>
      <c r="J9" s="16">
        <v>39</v>
      </c>
      <c r="K9" s="16">
        <v>17</v>
      </c>
      <c r="L9" s="16">
        <v>10</v>
      </c>
      <c r="M9" s="75">
        <v>8.4532500000000006</v>
      </c>
      <c r="N9" s="90">
        <v>10</v>
      </c>
      <c r="O9" s="58">
        <v>7000</v>
      </c>
      <c r="P9" s="59">
        <f>Table2245789101123[[#This Row],[PEMBULATAN]]*O9</f>
        <v>70000</v>
      </c>
    </row>
    <row r="10" spans="1:16" ht="26.25" customHeight="1" x14ac:dyDescent="0.2">
      <c r="A10" s="14"/>
      <c r="B10" s="14" t="s">
        <v>63</v>
      </c>
      <c r="C10" s="67" t="s">
        <v>71</v>
      </c>
      <c r="D10" s="72" t="s">
        <v>59</v>
      </c>
      <c r="E10" s="13">
        <v>44501</v>
      </c>
      <c r="F10" s="70" t="s">
        <v>60</v>
      </c>
      <c r="G10" s="13">
        <v>44503</v>
      </c>
      <c r="H10" s="71" t="s">
        <v>61</v>
      </c>
      <c r="I10" s="16">
        <v>43</v>
      </c>
      <c r="J10" s="16">
        <v>32</v>
      </c>
      <c r="K10" s="16">
        <v>21</v>
      </c>
      <c r="L10" s="16">
        <v>14</v>
      </c>
      <c r="M10" s="75">
        <v>7.2240000000000002</v>
      </c>
      <c r="N10" s="90">
        <v>14</v>
      </c>
      <c r="O10" s="58">
        <v>7000</v>
      </c>
      <c r="P10" s="59">
        <f>Table2245789101123[[#This Row],[PEMBULATAN]]*O10</f>
        <v>98000</v>
      </c>
    </row>
    <row r="11" spans="1:16" ht="22.5" customHeight="1" x14ac:dyDescent="0.2">
      <c r="A11" s="145" t="s">
        <v>30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7"/>
      <c r="M11" s="73">
        <f>SUBTOTAL(109,Table2245789101123[KG VOLUME])</f>
        <v>127.5335</v>
      </c>
      <c r="N11" s="62">
        <f>SUM(N3:N10)</f>
        <v>137.88624999999999</v>
      </c>
      <c r="O11" s="148">
        <f>SUM(P3:P10)</f>
        <v>965203.75</v>
      </c>
      <c r="P11" s="149"/>
    </row>
    <row r="12" spans="1:16" ht="18" customHeight="1" x14ac:dyDescent="0.2">
      <c r="A12" s="80"/>
      <c r="B12" s="50" t="s">
        <v>42</v>
      </c>
      <c r="C12" s="49"/>
      <c r="D12" s="51" t="s">
        <v>43</v>
      </c>
      <c r="E12" s="80"/>
      <c r="F12" s="80"/>
      <c r="G12" s="80"/>
      <c r="H12" s="80"/>
      <c r="I12" s="80"/>
      <c r="J12" s="80"/>
      <c r="K12" s="80"/>
      <c r="L12" s="80"/>
      <c r="M12" s="81"/>
      <c r="N12" s="82" t="s">
        <v>52</v>
      </c>
      <c r="O12" s="83"/>
      <c r="P12" s="83">
        <v>0</v>
      </c>
    </row>
    <row r="13" spans="1:16" ht="18" customHeight="1" thickBot="1" x14ac:dyDescent="0.25">
      <c r="A13" s="80"/>
      <c r="B13" s="50"/>
      <c r="C13" s="49"/>
      <c r="D13" s="51"/>
      <c r="E13" s="80"/>
      <c r="F13" s="80"/>
      <c r="G13" s="80"/>
      <c r="H13" s="80"/>
      <c r="I13" s="80"/>
      <c r="J13" s="80"/>
      <c r="K13" s="80"/>
      <c r="L13" s="80"/>
      <c r="M13" s="81"/>
      <c r="N13" s="84" t="s">
        <v>53</v>
      </c>
      <c r="O13" s="85"/>
      <c r="P13" s="85">
        <f>O11-P12</f>
        <v>965203.75</v>
      </c>
    </row>
    <row r="14" spans="1:16" ht="18" customHeight="1" x14ac:dyDescent="0.2">
      <c r="A14" s="11"/>
      <c r="H14" s="57"/>
      <c r="N14" s="56" t="s">
        <v>31</v>
      </c>
      <c r="P14" s="63">
        <f>P13*1%</f>
        <v>9652.0375000000004</v>
      </c>
    </row>
    <row r="15" spans="1:16" ht="18" customHeight="1" thickBot="1" x14ac:dyDescent="0.25">
      <c r="A15" s="11"/>
      <c r="H15" s="57"/>
      <c r="N15" s="56" t="s">
        <v>54</v>
      </c>
      <c r="P15" s="65">
        <f>P13*2%</f>
        <v>19304.075000000001</v>
      </c>
    </row>
    <row r="16" spans="1:16" ht="18" customHeight="1" x14ac:dyDescent="0.2">
      <c r="A16" s="11"/>
      <c r="H16" s="57"/>
      <c r="N16" s="60" t="s">
        <v>32</v>
      </c>
      <c r="O16" s="61"/>
      <c r="P16" s="64">
        <f>P13+P14-P15</f>
        <v>955551.71250000002</v>
      </c>
    </row>
    <row r="18" spans="1:16" x14ac:dyDescent="0.2">
      <c r="A18" s="11"/>
      <c r="H18" s="57"/>
      <c r="P18" s="65"/>
    </row>
    <row r="19" spans="1:16" x14ac:dyDescent="0.2">
      <c r="A19" s="11"/>
      <c r="H19" s="57"/>
      <c r="O19" s="52"/>
      <c r="P19" s="65"/>
    </row>
    <row r="20" spans="1:16" s="3" customFormat="1" x14ac:dyDescent="0.25">
      <c r="A20" s="11"/>
      <c r="B20" s="2"/>
      <c r="C20" s="2"/>
      <c r="E20" s="12"/>
      <c r="H20" s="57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7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7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7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7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7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57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57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57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57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57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57"/>
      <c r="N31" s="15"/>
      <c r="O31" s="15"/>
      <c r="P31" s="15"/>
    </row>
  </sheetData>
  <mergeCells count="2">
    <mergeCell ref="A11:L11"/>
    <mergeCell ref="O11:P11"/>
  </mergeCells>
  <conditionalFormatting sqref="B3">
    <cfRule type="duplicateValues" dxfId="684" priority="2"/>
  </conditionalFormatting>
  <conditionalFormatting sqref="B4">
    <cfRule type="duplicateValues" dxfId="683" priority="1"/>
  </conditionalFormatting>
  <conditionalFormatting sqref="B5:B10">
    <cfRule type="duplicateValues" dxfId="682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6" sqref="O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5703125" style="12" customWidth="1"/>
    <col min="6" max="6" width="10.5703125" style="3" customWidth="1"/>
    <col min="7" max="7" width="9.5703125" style="3" customWidth="1"/>
    <col min="8" max="8" width="15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2.140625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3">
        <v>403211</v>
      </c>
      <c r="B3" s="103" t="s">
        <v>608</v>
      </c>
      <c r="C3" s="92" t="s">
        <v>609</v>
      </c>
      <c r="D3" s="106" t="s">
        <v>59</v>
      </c>
      <c r="E3" s="93">
        <v>44514</v>
      </c>
      <c r="F3" s="106" t="s">
        <v>60</v>
      </c>
      <c r="G3" s="93">
        <v>44517</v>
      </c>
      <c r="H3" s="92" t="s">
        <v>611</v>
      </c>
      <c r="I3" s="92">
        <v>60</v>
      </c>
      <c r="J3" s="92">
        <v>34</v>
      </c>
      <c r="K3" s="92">
        <v>22</v>
      </c>
      <c r="L3" s="92">
        <v>9</v>
      </c>
      <c r="M3" s="94">
        <v>11.22</v>
      </c>
      <c r="N3" s="109">
        <v>11.22</v>
      </c>
      <c r="O3" s="58">
        <v>7000</v>
      </c>
      <c r="P3" s="59">
        <f>Table2245789101123456789101112131415161718192021222324252627282930[[#This Row],[PEMBULATAN]]*O3</f>
        <v>78540</v>
      </c>
    </row>
    <row r="4" spans="1:16" ht="26.25" customHeight="1" x14ac:dyDescent="0.2">
      <c r="A4" s="105"/>
      <c r="B4" s="105"/>
      <c r="C4" s="92" t="s">
        <v>610</v>
      </c>
      <c r="D4" s="106" t="s">
        <v>59</v>
      </c>
      <c r="E4" s="93">
        <v>44514</v>
      </c>
      <c r="F4" s="106" t="s">
        <v>60</v>
      </c>
      <c r="G4" s="93">
        <v>44517</v>
      </c>
      <c r="H4" s="92" t="s">
        <v>611</v>
      </c>
      <c r="I4" s="92">
        <v>83</v>
      </c>
      <c r="J4" s="92">
        <v>37</v>
      </c>
      <c r="K4" s="92">
        <v>47</v>
      </c>
      <c r="L4" s="92">
        <v>20</v>
      </c>
      <c r="M4" s="94">
        <v>36.084249999999997</v>
      </c>
      <c r="N4" s="109">
        <v>36.084249999999997</v>
      </c>
      <c r="O4" s="58">
        <v>7000</v>
      </c>
      <c r="P4" s="59">
        <f>Table2245789101123456789101112131415161718192021222324252627282930[[#This Row],[PEMBULATAN]]*O4</f>
        <v>252589.74999999997</v>
      </c>
    </row>
    <row r="5" spans="1:16" ht="22.5" customHeight="1" x14ac:dyDescent="0.2">
      <c r="A5" s="145" t="s">
        <v>30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7"/>
      <c r="M5" s="73">
        <f>SUBTOTAL(109,Table2245789101123456789101112131415161718192021222324252627282930[KG VOLUME])</f>
        <v>47.304249999999996</v>
      </c>
      <c r="N5" s="62">
        <f>SUM(N3:N4)</f>
        <v>47.304249999999996</v>
      </c>
      <c r="O5" s="148">
        <f>SUM(P3:P4)</f>
        <v>331129.75</v>
      </c>
      <c r="P5" s="149"/>
    </row>
    <row r="6" spans="1:16" ht="18" customHeight="1" x14ac:dyDescent="0.2">
      <c r="A6" s="80"/>
      <c r="B6" s="50" t="s">
        <v>42</v>
      </c>
      <c r="C6" s="49"/>
      <c r="D6" s="51" t="s">
        <v>43</v>
      </c>
      <c r="E6" s="80"/>
      <c r="F6" s="80"/>
      <c r="G6" s="80"/>
      <c r="H6" s="80"/>
      <c r="I6" s="80"/>
      <c r="J6" s="80"/>
      <c r="K6" s="80"/>
      <c r="L6" s="80"/>
      <c r="M6" s="81"/>
      <c r="N6" s="82" t="s">
        <v>52</v>
      </c>
      <c r="O6" s="83"/>
      <c r="P6" s="83">
        <v>0</v>
      </c>
    </row>
    <row r="7" spans="1:16" ht="18" customHeight="1" thickBot="1" x14ac:dyDescent="0.25">
      <c r="A7" s="80"/>
      <c r="B7" s="50"/>
      <c r="C7" s="49"/>
      <c r="D7" s="51"/>
      <c r="E7" s="80"/>
      <c r="F7" s="80"/>
      <c r="G7" s="80"/>
      <c r="H7" s="80"/>
      <c r="I7" s="80"/>
      <c r="J7" s="80"/>
      <c r="K7" s="80"/>
      <c r="L7" s="80"/>
      <c r="M7" s="81"/>
      <c r="N7" s="84" t="s">
        <v>53</v>
      </c>
      <c r="O7" s="85"/>
      <c r="P7" s="85">
        <f>O5-P6</f>
        <v>331129.75</v>
      </c>
    </row>
    <row r="8" spans="1:16" ht="18" customHeight="1" x14ac:dyDescent="0.2">
      <c r="A8" s="11"/>
      <c r="H8" s="57"/>
      <c r="N8" s="56" t="s">
        <v>31</v>
      </c>
      <c r="P8" s="63">
        <f>P7*1%</f>
        <v>3311.2975000000001</v>
      </c>
    </row>
    <row r="9" spans="1:16" ht="18" customHeight="1" thickBot="1" x14ac:dyDescent="0.25">
      <c r="A9" s="11"/>
      <c r="H9" s="57"/>
      <c r="N9" s="56" t="s">
        <v>54</v>
      </c>
      <c r="P9" s="65">
        <f>P7*2%</f>
        <v>6622.5950000000003</v>
      </c>
    </row>
    <row r="10" spans="1:16" ht="18" customHeight="1" x14ac:dyDescent="0.2">
      <c r="A10" s="11"/>
      <c r="H10" s="57"/>
      <c r="N10" s="60" t="s">
        <v>32</v>
      </c>
      <c r="O10" s="61"/>
      <c r="P10" s="64">
        <f>P7+P8-P9</f>
        <v>327818.45250000001</v>
      </c>
    </row>
    <row r="12" spans="1:16" x14ac:dyDescent="0.2">
      <c r="A12" s="11"/>
      <c r="H12" s="57"/>
      <c r="P12" s="65"/>
    </row>
    <row r="13" spans="1:16" x14ac:dyDescent="0.2">
      <c r="A13" s="11"/>
      <c r="H13" s="57"/>
      <c r="O13" s="52"/>
      <c r="P13" s="65"/>
    </row>
    <row r="14" spans="1:16" s="3" customFormat="1" x14ac:dyDescent="0.25">
      <c r="A14" s="11"/>
      <c r="B14" s="2"/>
      <c r="C14" s="2"/>
      <c r="E14" s="12"/>
      <c r="H14" s="57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57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57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57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57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57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7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7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7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7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7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7"/>
      <c r="N25" s="15"/>
      <c r="O25" s="15"/>
      <c r="P25" s="15"/>
    </row>
  </sheetData>
  <mergeCells count="2">
    <mergeCell ref="A5:L5"/>
    <mergeCell ref="O5:P5"/>
  </mergeCells>
  <conditionalFormatting sqref="C3:C4">
    <cfRule type="duplicateValues" dxfId="207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7"/>
  <sheetViews>
    <sheetView zoomScale="110" zoomScaleNormal="110" workbookViewId="0">
      <pane xSplit="3" ySplit="2" topLeftCell="D29" activePane="bottomRight" state="frozen"/>
      <selection pane="topRight" activeCell="B1" sqref="B1"/>
      <selection pane="bottomLeft" activeCell="A3" sqref="A3"/>
      <selection pane="bottomRight" activeCell="J36" sqref="J36"/>
    </sheetView>
  </sheetViews>
  <sheetFormatPr defaultRowHeight="15" x14ac:dyDescent="0.2"/>
  <cols>
    <col min="1" max="1" width="8" style="4" customWidth="1"/>
    <col min="2" max="2" width="20.85546875" style="2" customWidth="1"/>
    <col min="3" max="3" width="15.42578125" style="2" customWidth="1"/>
    <col min="4" max="4" width="9" style="3" customWidth="1"/>
    <col min="5" max="5" width="9" style="12" customWidth="1"/>
    <col min="6" max="6" width="11.85546875" style="3" customWidth="1"/>
    <col min="7" max="7" width="9.5703125" style="3" customWidth="1"/>
    <col min="8" max="8" width="15.5703125" style="6" customWidth="1"/>
    <col min="9" max="11" width="4.42578125" style="3" customWidth="1"/>
    <col min="12" max="12" width="5" style="3" customWidth="1"/>
    <col min="13" max="13" width="8.5703125" style="3" customWidth="1"/>
    <col min="14" max="14" width="12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3">
        <v>403870</v>
      </c>
      <c r="B3" s="103" t="s">
        <v>612</v>
      </c>
      <c r="C3" s="92" t="s">
        <v>613</v>
      </c>
      <c r="D3" s="106" t="s">
        <v>59</v>
      </c>
      <c r="E3" s="93">
        <v>44514</v>
      </c>
      <c r="F3" s="106" t="s">
        <v>60</v>
      </c>
      <c r="G3" s="93">
        <v>44517</v>
      </c>
      <c r="H3" s="92" t="s">
        <v>611</v>
      </c>
      <c r="I3" s="92">
        <v>53</v>
      </c>
      <c r="J3" s="92">
        <v>53</v>
      </c>
      <c r="K3" s="92">
        <v>30</v>
      </c>
      <c r="L3" s="92">
        <v>10</v>
      </c>
      <c r="M3" s="92">
        <v>21.067499999999999</v>
      </c>
      <c r="N3" s="109">
        <v>21.067499999999999</v>
      </c>
      <c r="O3" s="58">
        <v>7000</v>
      </c>
      <c r="P3" s="59">
        <f>Table224578910112345678910111213141516171819202122232425262728293031[[#This Row],[PEMBULATAN]]*O3</f>
        <v>147472.5</v>
      </c>
    </row>
    <row r="4" spans="1:16" ht="26.25" customHeight="1" x14ac:dyDescent="0.2">
      <c r="A4" s="104"/>
      <c r="B4" s="104"/>
      <c r="C4" s="92" t="s">
        <v>614</v>
      </c>
      <c r="D4" s="106" t="s">
        <v>59</v>
      </c>
      <c r="E4" s="93">
        <v>44514</v>
      </c>
      <c r="F4" s="106" t="s">
        <v>60</v>
      </c>
      <c r="G4" s="93">
        <v>44517</v>
      </c>
      <c r="H4" s="92" t="s">
        <v>611</v>
      </c>
      <c r="I4" s="92">
        <v>50</v>
      </c>
      <c r="J4" s="92">
        <v>50</v>
      </c>
      <c r="K4" s="92">
        <v>22</v>
      </c>
      <c r="L4" s="92">
        <v>8</v>
      </c>
      <c r="M4" s="92">
        <v>13.75</v>
      </c>
      <c r="N4" s="109">
        <v>13.75</v>
      </c>
      <c r="O4" s="58">
        <v>7000</v>
      </c>
      <c r="P4" s="59">
        <f>Table224578910112345678910111213141516171819202122232425262728293031[[#This Row],[PEMBULATAN]]*O4</f>
        <v>96250</v>
      </c>
    </row>
    <row r="5" spans="1:16" ht="26.25" customHeight="1" x14ac:dyDescent="0.2">
      <c r="A5" s="104"/>
      <c r="B5" s="104"/>
      <c r="C5" s="92" t="s">
        <v>615</v>
      </c>
      <c r="D5" s="106" t="s">
        <v>59</v>
      </c>
      <c r="E5" s="93">
        <v>44514</v>
      </c>
      <c r="F5" s="106" t="s">
        <v>60</v>
      </c>
      <c r="G5" s="93">
        <v>44517</v>
      </c>
      <c r="H5" s="92" t="s">
        <v>611</v>
      </c>
      <c r="I5" s="92">
        <v>47</v>
      </c>
      <c r="J5" s="92">
        <v>53</v>
      </c>
      <c r="K5" s="92">
        <v>27</v>
      </c>
      <c r="L5" s="92">
        <v>10</v>
      </c>
      <c r="M5" s="92">
        <v>16.814250000000001</v>
      </c>
      <c r="N5" s="109">
        <v>16.814250000000001</v>
      </c>
      <c r="O5" s="58">
        <v>7000</v>
      </c>
      <c r="P5" s="59">
        <f>Table224578910112345678910111213141516171819202122232425262728293031[[#This Row],[PEMBULATAN]]*O5</f>
        <v>117699.75000000001</v>
      </c>
    </row>
    <row r="6" spans="1:16" ht="26.25" customHeight="1" x14ac:dyDescent="0.2">
      <c r="A6" s="104"/>
      <c r="B6" s="104"/>
      <c r="C6" s="92" t="s">
        <v>616</v>
      </c>
      <c r="D6" s="106" t="s">
        <v>59</v>
      </c>
      <c r="E6" s="93">
        <v>44514</v>
      </c>
      <c r="F6" s="106" t="s">
        <v>60</v>
      </c>
      <c r="G6" s="93">
        <v>44517</v>
      </c>
      <c r="H6" s="92" t="s">
        <v>611</v>
      </c>
      <c r="I6" s="92">
        <v>50</v>
      </c>
      <c r="J6" s="92">
        <v>43</v>
      </c>
      <c r="K6" s="92">
        <v>22</v>
      </c>
      <c r="L6" s="92">
        <v>8</v>
      </c>
      <c r="M6" s="92">
        <v>11.824999999999999</v>
      </c>
      <c r="N6" s="109">
        <v>11.824999999999999</v>
      </c>
      <c r="O6" s="58">
        <v>7000</v>
      </c>
      <c r="P6" s="59">
        <f>Table224578910112345678910111213141516171819202122232425262728293031[[#This Row],[PEMBULATAN]]*O6</f>
        <v>82775</v>
      </c>
    </row>
    <row r="7" spans="1:16" ht="26.25" customHeight="1" x14ac:dyDescent="0.2">
      <c r="A7" s="104"/>
      <c r="B7" s="104"/>
      <c r="C7" s="92" t="s">
        <v>617</v>
      </c>
      <c r="D7" s="106" t="s">
        <v>59</v>
      </c>
      <c r="E7" s="93">
        <v>44514</v>
      </c>
      <c r="F7" s="106" t="s">
        <v>60</v>
      </c>
      <c r="G7" s="93">
        <v>44517</v>
      </c>
      <c r="H7" s="92" t="s">
        <v>611</v>
      </c>
      <c r="I7" s="92">
        <v>103</v>
      </c>
      <c r="J7" s="92">
        <v>60</v>
      </c>
      <c r="K7" s="92">
        <v>10</v>
      </c>
      <c r="L7" s="92">
        <v>6</v>
      </c>
      <c r="M7" s="92">
        <v>15.45</v>
      </c>
      <c r="N7" s="109">
        <v>16</v>
      </c>
      <c r="O7" s="58">
        <v>7000</v>
      </c>
      <c r="P7" s="59">
        <f>Table224578910112345678910111213141516171819202122232425262728293031[[#This Row],[PEMBULATAN]]*O7</f>
        <v>112000</v>
      </c>
    </row>
    <row r="8" spans="1:16" ht="26.25" customHeight="1" x14ac:dyDescent="0.2">
      <c r="A8" s="104"/>
      <c r="B8" s="104"/>
      <c r="C8" s="92" t="s">
        <v>618</v>
      </c>
      <c r="D8" s="106" t="s">
        <v>59</v>
      </c>
      <c r="E8" s="93">
        <v>44514</v>
      </c>
      <c r="F8" s="106" t="s">
        <v>60</v>
      </c>
      <c r="G8" s="93">
        <v>44517</v>
      </c>
      <c r="H8" s="92" t="s">
        <v>611</v>
      </c>
      <c r="I8" s="92">
        <v>67</v>
      </c>
      <c r="J8" s="92">
        <v>50</v>
      </c>
      <c r="K8" s="92">
        <v>28</v>
      </c>
      <c r="L8" s="92">
        <v>6</v>
      </c>
      <c r="M8" s="92">
        <v>23.45</v>
      </c>
      <c r="N8" s="109">
        <v>24</v>
      </c>
      <c r="O8" s="58">
        <v>7000</v>
      </c>
      <c r="P8" s="59">
        <f>Table224578910112345678910111213141516171819202122232425262728293031[[#This Row],[PEMBULATAN]]*O8</f>
        <v>168000</v>
      </c>
    </row>
    <row r="9" spans="1:16" ht="26.25" customHeight="1" x14ac:dyDescent="0.2">
      <c r="A9" s="104"/>
      <c r="B9" s="104"/>
      <c r="C9" s="92" t="s">
        <v>619</v>
      </c>
      <c r="D9" s="106" t="s">
        <v>59</v>
      </c>
      <c r="E9" s="93">
        <v>44514</v>
      </c>
      <c r="F9" s="106" t="s">
        <v>60</v>
      </c>
      <c r="G9" s="93">
        <v>44517</v>
      </c>
      <c r="H9" s="92" t="s">
        <v>611</v>
      </c>
      <c r="I9" s="92">
        <v>90</v>
      </c>
      <c r="J9" s="92">
        <v>62</v>
      </c>
      <c r="K9" s="92">
        <v>30</v>
      </c>
      <c r="L9" s="92">
        <v>10</v>
      </c>
      <c r="M9" s="92">
        <v>41.85</v>
      </c>
      <c r="N9" s="109">
        <v>41.85</v>
      </c>
      <c r="O9" s="58">
        <v>7000</v>
      </c>
      <c r="P9" s="59">
        <f>Table224578910112345678910111213141516171819202122232425262728293031[[#This Row],[PEMBULATAN]]*O9</f>
        <v>292950</v>
      </c>
    </row>
    <row r="10" spans="1:16" ht="26.25" customHeight="1" x14ac:dyDescent="0.2">
      <c r="A10" s="104"/>
      <c r="B10" s="104"/>
      <c r="C10" s="92" t="s">
        <v>620</v>
      </c>
      <c r="D10" s="106" t="s">
        <v>59</v>
      </c>
      <c r="E10" s="93">
        <v>44514</v>
      </c>
      <c r="F10" s="106" t="s">
        <v>60</v>
      </c>
      <c r="G10" s="93">
        <v>44517</v>
      </c>
      <c r="H10" s="92" t="s">
        <v>611</v>
      </c>
      <c r="I10" s="92">
        <v>48</v>
      </c>
      <c r="J10" s="92">
        <v>48</v>
      </c>
      <c r="K10" s="92">
        <v>30</v>
      </c>
      <c r="L10" s="92">
        <v>10</v>
      </c>
      <c r="M10" s="92">
        <v>17.28</v>
      </c>
      <c r="N10" s="109">
        <v>17.28</v>
      </c>
      <c r="O10" s="58">
        <v>7000</v>
      </c>
      <c r="P10" s="59">
        <f>Table224578910112345678910111213141516171819202122232425262728293031[[#This Row],[PEMBULATAN]]*O10</f>
        <v>120960.00000000001</v>
      </c>
    </row>
    <row r="11" spans="1:16" ht="26.25" customHeight="1" x14ac:dyDescent="0.2">
      <c r="A11" s="104"/>
      <c r="B11" s="104"/>
      <c r="C11" s="92" t="s">
        <v>621</v>
      </c>
      <c r="D11" s="106" t="s">
        <v>59</v>
      </c>
      <c r="E11" s="93">
        <v>44514</v>
      </c>
      <c r="F11" s="106" t="s">
        <v>60</v>
      </c>
      <c r="G11" s="93">
        <v>44517</v>
      </c>
      <c r="H11" s="92" t="s">
        <v>611</v>
      </c>
      <c r="I11" s="92">
        <v>52</v>
      </c>
      <c r="J11" s="92">
        <v>44</v>
      </c>
      <c r="K11" s="92">
        <v>23</v>
      </c>
      <c r="L11" s="92">
        <v>8</v>
      </c>
      <c r="M11" s="92">
        <v>13.156000000000001</v>
      </c>
      <c r="N11" s="109">
        <v>13.156000000000001</v>
      </c>
      <c r="O11" s="58">
        <v>7000</v>
      </c>
      <c r="P11" s="59">
        <f>Table224578910112345678910111213141516171819202122232425262728293031[[#This Row],[PEMBULATAN]]*O11</f>
        <v>92092</v>
      </c>
    </row>
    <row r="12" spans="1:16" ht="26.25" customHeight="1" x14ac:dyDescent="0.2">
      <c r="A12" s="104"/>
      <c r="B12" s="104"/>
      <c r="C12" s="92" t="s">
        <v>622</v>
      </c>
      <c r="D12" s="106" t="s">
        <v>59</v>
      </c>
      <c r="E12" s="93">
        <v>44514</v>
      </c>
      <c r="F12" s="106" t="s">
        <v>60</v>
      </c>
      <c r="G12" s="93">
        <v>44517</v>
      </c>
      <c r="H12" s="92" t="s">
        <v>611</v>
      </c>
      <c r="I12" s="92">
        <v>44</v>
      </c>
      <c r="J12" s="92">
        <v>34</v>
      </c>
      <c r="K12" s="92">
        <v>34</v>
      </c>
      <c r="L12" s="92">
        <v>6</v>
      </c>
      <c r="M12" s="92">
        <v>12.715999999999999</v>
      </c>
      <c r="N12" s="109">
        <v>12.715999999999999</v>
      </c>
      <c r="O12" s="58">
        <v>7000</v>
      </c>
      <c r="P12" s="59">
        <f>Table224578910112345678910111213141516171819202122232425262728293031[[#This Row],[PEMBULATAN]]*O12</f>
        <v>89012</v>
      </c>
    </row>
    <row r="13" spans="1:16" ht="26.25" customHeight="1" x14ac:dyDescent="0.2">
      <c r="A13" s="104"/>
      <c r="B13" s="104"/>
      <c r="C13" s="92" t="s">
        <v>623</v>
      </c>
      <c r="D13" s="106" t="s">
        <v>59</v>
      </c>
      <c r="E13" s="93">
        <v>44514</v>
      </c>
      <c r="F13" s="106" t="s">
        <v>60</v>
      </c>
      <c r="G13" s="93">
        <v>44517</v>
      </c>
      <c r="H13" s="92" t="s">
        <v>611</v>
      </c>
      <c r="I13" s="92">
        <v>86</v>
      </c>
      <c r="J13" s="92">
        <v>20</v>
      </c>
      <c r="K13" s="92">
        <v>56</v>
      </c>
      <c r="L13" s="92">
        <v>7</v>
      </c>
      <c r="M13" s="92">
        <v>24.08</v>
      </c>
      <c r="N13" s="109">
        <v>24.08</v>
      </c>
      <c r="O13" s="58">
        <v>7000</v>
      </c>
      <c r="P13" s="59">
        <f>Table224578910112345678910111213141516171819202122232425262728293031[[#This Row],[PEMBULATAN]]*O13</f>
        <v>168560</v>
      </c>
    </row>
    <row r="14" spans="1:16" ht="26.25" customHeight="1" x14ac:dyDescent="0.2">
      <c r="A14" s="104"/>
      <c r="B14" s="104"/>
      <c r="C14" s="92" t="s">
        <v>624</v>
      </c>
      <c r="D14" s="106" t="s">
        <v>59</v>
      </c>
      <c r="E14" s="93">
        <v>44514</v>
      </c>
      <c r="F14" s="106" t="s">
        <v>60</v>
      </c>
      <c r="G14" s="93">
        <v>44517</v>
      </c>
      <c r="H14" s="92" t="s">
        <v>611</v>
      </c>
      <c r="I14" s="92">
        <v>83</v>
      </c>
      <c r="J14" s="92">
        <v>28</v>
      </c>
      <c r="K14" s="92">
        <v>36</v>
      </c>
      <c r="L14" s="92">
        <v>6</v>
      </c>
      <c r="M14" s="92">
        <v>20.916</v>
      </c>
      <c r="N14" s="109">
        <v>20.916</v>
      </c>
      <c r="O14" s="58">
        <v>7000</v>
      </c>
      <c r="P14" s="59">
        <f>Table224578910112345678910111213141516171819202122232425262728293031[[#This Row],[PEMBULATAN]]*O14</f>
        <v>146412</v>
      </c>
    </row>
    <row r="15" spans="1:16" ht="26.25" customHeight="1" x14ac:dyDescent="0.2">
      <c r="A15" s="104"/>
      <c r="B15" s="104"/>
      <c r="C15" s="92" t="s">
        <v>625</v>
      </c>
      <c r="D15" s="106" t="s">
        <v>59</v>
      </c>
      <c r="E15" s="93">
        <v>44514</v>
      </c>
      <c r="F15" s="106" t="s">
        <v>60</v>
      </c>
      <c r="G15" s="93">
        <v>44517</v>
      </c>
      <c r="H15" s="92" t="s">
        <v>611</v>
      </c>
      <c r="I15" s="92">
        <v>51</v>
      </c>
      <c r="J15" s="92">
        <v>36</v>
      </c>
      <c r="K15" s="92">
        <v>17</v>
      </c>
      <c r="L15" s="92">
        <v>7</v>
      </c>
      <c r="M15" s="92">
        <v>7.8029999999999999</v>
      </c>
      <c r="N15" s="109">
        <v>7.8029999999999999</v>
      </c>
      <c r="O15" s="58">
        <v>7000</v>
      </c>
      <c r="P15" s="59">
        <f>Table224578910112345678910111213141516171819202122232425262728293031[[#This Row],[PEMBULATAN]]*O15</f>
        <v>54621</v>
      </c>
    </row>
    <row r="16" spans="1:16" ht="26.25" customHeight="1" x14ac:dyDescent="0.2">
      <c r="A16" s="104"/>
      <c r="B16" s="104"/>
      <c r="C16" s="92" t="s">
        <v>626</v>
      </c>
      <c r="D16" s="106" t="s">
        <v>59</v>
      </c>
      <c r="E16" s="93">
        <v>44514</v>
      </c>
      <c r="F16" s="106" t="s">
        <v>60</v>
      </c>
      <c r="G16" s="93">
        <v>44517</v>
      </c>
      <c r="H16" s="92" t="s">
        <v>611</v>
      </c>
      <c r="I16" s="92">
        <v>78</v>
      </c>
      <c r="J16" s="92">
        <v>38</v>
      </c>
      <c r="K16" s="92">
        <v>61</v>
      </c>
      <c r="L16" s="92">
        <v>9</v>
      </c>
      <c r="M16" s="92">
        <v>45.201000000000001</v>
      </c>
      <c r="N16" s="109">
        <v>45.201000000000001</v>
      </c>
      <c r="O16" s="58">
        <v>7000</v>
      </c>
      <c r="P16" s="59">
        <f>Table224578910112345678910111213141516171819202122232425262728293031[[#This Row],[PEMBULATAN]]*O16</f>
        <v>316407</v>
      </c>
    </row>
    <row r="17" spans="1:16" ht="26.25" customHeight="1" x14ac:dyDescent="0.2">
      <c r="A17" s="104"/>
      <c r="B17" s="104"/>
      <c r="C17" s="92" t="s">
        <v>627</v>
      </c>
      <c r="D17" s="106" t="s">
        <v>59</v>
      </c>
      <c r="E17" s="93">
        <v>44514</v>
      </c>
      <c r="F17" s="106" t="s">
        <v>60</v>
      </c>
      <c r="G17" s="93">
        <v>44517</v>
      </c>
      <c r="H17" s="92" t="s">
        <v>611</v>
      </c>
      <c r="I17" s="92">
        <v>132</v>
      </c>
      <c r="J17" s="92">
        <v>53</v>
      </c>
      <c r="K17" s="92">
        <v>36</v>
      </c>
      <c r="L17" s="92">
        <v>10</v>
      </c>
      <c r="M17" s="92">
        <v>62.963999999999999</v>
      </c>
      <c r="N17" s="109">
        <v>62.963999999999999</v>
      </c>
      <c r="O17" s="58">
        <v>7000</v>
      </c>
      <c r="P17" s="59">
        <f>Table224578910112345678910111213141516171819202122232425262728293031[[#This Row],[PEMBULATAN]]*O17</f>
        <v>440748</v>
      </c>
    </row>
    <row r="18" spans="1:16" ht="26.25" customHeight="1" x14ac:dyDescent="0.2">
      <c r="A18" s="104"/>
      <c r="B18" s="104"/>
      <c r="C18" s="92" t="s">
        <v>628</v>
      </c>
      <c r="D18" s="106" t="s">
        <v>59</v>
      </c>
      <c r="E18" s="93">
        <v>44514</v>
      </c>
      <c r="F18" s="106" t="s">
        <v>60</v>
      </c>
      <c r="G18" s="93">
        <v>44517</v>
      </c>
      <c r="H18" s="92" t="s">
        <v>611</v>
      </c>
      <c r="I18" s="92">
        <v>34</v>
      </c>
      <c r="J18" s="92">
        <v>35</v>
      </c>
      <c r="K18" s="92">
        <v>26</v>
      </c>
      <c r="L18" s="92">
        <v>7</v>
      </c>
      <c r="M18" s="92">
        <v>7.7350000000000003</v>
      </c>
      <c r="N18" s="109">
        <v>7.7350000000000003</v>
      </c>
      <c r="O18" s="58">
        <v>7000</v>
      </c>
      <c r="P18" s="59">
        <f>Table224578910112345678910111213141516171819202122232425262728293031[[#This Row],[PEMBULATAN]]*O18</f>
        <v>54145</v>
      </c>
    </row>
    <row r="19" spans="1:16" ht="26.25" customHeight="1" x14ac:dyDescent="0.2">
      <c r="A19" s="104"/>
      <c r="B19" s="104"/>
      <c r="C19" s="92" t="s">
        <v>629</v>
      </c>
      <c r="D19" s="106" t="s">
        <v>59</v>
      </c>
      <c r="E19" s="93">
        <v>44514</v>
      </c>
      <c r="F19" s="106" t="s">
        <v>60</v>
      </c>
      <c r="G19" s="93">
        <v>44517</v>
      </c>
      <c r="H19" s="92" t="s">
        <v>611</v>
      </c>
      <c r="I19" s="92">
        <v>31</v>
      </c>
      <c r="J19" s="92">
        <v>22</v>
      </c>
      <c r="K19" s="92">
        <v>28</v>
      </c>
      <c r="L19" s="92">
        <v>9</v>
      </c>
      <c r="M19" s="92">
        <v>4.774</v>
      </c>
      <c r="N19" s="109">
        <v>9</v>
      </c>
      <c r="O19" s="58">
        <v>7000</v>
      </c>
      <c r="P19" s="59">
        <f>Table224578910112345678910111213141516171819202122232425262728293031[[#This Row],[PEMBULATAN]]*O19</f>
        <v>63000</v>
      </c>
    </row>
    <row r="20" spans="1:16" ht="26.25" customHeight="1" x14ac:dyDescent="0.2">
      <c r="A20" s="104"/>
      <c r="B20" s="104"/>
      <c r="C20" s="92" t="s">
        <v>630</v>
      </c>
      <c r="D20" s="106" t="s">
        <v>59</v>
      </c>
      <c r="E20" s="93">
        <v>44514</v>
      </c>
      <c r="F20" s="106" t="s">
        <v>60</v>
      </c>
      <c r="G20" s="93">
        <v>44517</v>
      </c>
      <c r="H20" s="92" t="s">
        <v>611</v>
      </c>
      <c r="I20" s="92">
        <v>42</v>
      </c>
      <c r="J20" s="92">
        <v>22</v>
      </c>
      <c r="K20" s="92">
        <v>36</v>
      </c>
      <c r="L20" s="92">
        <v>7</v>
      </c>
      <c r="M20" s="92">
        <v>8.3160000000000007</v>
      </c>
      <c r="N20" s="109">
        <v>9</v>
      </c>
      <c r="O20" s="58">
        <v>7000</v>
      </c>
      <c r="P20" s="59">
        <f>Table224578910112345678910111213141516171819202122232425262728293031[[#This Row],[PEMBULATAN]]*O20</f>
        <v>63000</v>
      </c>
    </row>
    <row r="21" spans="1:16" ht="26.25" customHeight="1" x14ac:dyDescent="0.2">
      <c r="A21" s="104"/>
      <c r="B21" s="104"/>
      <c r="C21" s="92" t="s">
        <v>631</v>
      </c>
      <c r="D21" s="106" t="s">
        <v>59</v>
      </c>
      <c r="E21" s="93">
        <v>44514</v>
      </c>
      <c r="F21" s="106" t="s">
        <v>60</v>
      </c>
      <c r="G21" s="93">
        <v>44517</v>
      </c>
      <c r="H21" s="92" t="s">
        <v>611</v>
      </c>
      <c r="I21" s="92">
        <v>55</v>
      </c>
      <c r="J21" s="92">
        <v>40</v>
      </c>
      <c r="K21" s="92">
        <v>17</v>
      </c>
      <c r="L21" s="92">
        <v>7</v>
      </c>
      <c r="M21" s="92">
        <v>9.35</v>
      </c>
      <c r="N21" s="109">
        <v>10</v>
      </c>
      <c r="O21" s="58">
        <v>7000</v>
      </c>
      <c r="P21" s="59">
        <f>Table224578910112345678910111213141516171819202122232425262728293031[[#This Row],[PEMBULATAN]]*O21</f>
        <v>70000</v>
      </c>
    </row>
    <row r="22" spans="1:16" ht="26.25" customHeight="1" x14ac:dyDescent="0.2">
      <c r="A22" s="104"/>
      <c r="B22" s="104"/>
      <c r="C22" s="92" t="s">
        <v>632</v>
      </c>
      <c r="D22" s="106" t="s">
        <v>59</v>
      </c>
      <c r="E22" s="93">
        <v>44514</v>
      </c>
      <c r="F22" s="106" t="s">
        <v>60</v>
      </c>
      <c r="G22" s="93">
        <v>44517</v>
      </c>
      <c r="H22" s="92" t="s">
        <v>611</v>
      </c>
      <c r="I22" s="92">
        <v>30</v>
      </c>
      <c r="J22" s="92">
        <v>34</v>
      </c>
      <c r="K22" s="92">
        <v>20</v>
      </c>
      <c r="L22" s="92">
        <v>4</v>
      </c>
      <c r="M22" s="92">
        <v>5.0999999999999996</v>
      </c>
      <c r="N22" s="109">
        <v>5.0999999999999996</v>
      </c>
      <c r="O22" s="58">
        <v>7000</v>
      </c>
      <c r="P22" s="59">
        <f>Table224578910112345678910111213141516171819202122232425262728293031[[#This Row],[PEMBULATAN]]*O22</f>
        <v>35700</v>
      </c>
    </row>
    <row r="23" spans="1:16" ht="26.25" customHeight="1" x14ac:dyDescent="0.2">
      <c r="A23" s="104"/>
      <c r="B23" s="104"/>
      <c r="C23" s="92" t="s">
        <v>633</v>
      </c>
      <c r="D23" s="106" t="s">
        <v>59</v>
      </c>
      <c r="E23" s="93">
        <v>44514</v>
      </c>
      <c r="F23" s="106" t="s">
        <v>60</v>
      </c>
      <c r="G23" s="93">
        <v>44517</v>
      </c>
      <c r="H23" s="92" t="s">
        <v>611</v>
      </c>
      <c r="I23" s="92">
        <v>85</v>
      </c>
      <c r="J23" s="92">
        <v>28</v>
      </c>
      <c r="K23" s="92">
        <v>40</v>
      </c>
      <c r="L23" s="92">
        <v>6</v>
      </c>
      <c r="M23" s="92">
        <v>23.8</v>
      </c>
      <c r="N23" s="109">
        <v>23.8</v>
      </c>
      <c r="O23" s="58">
        <v>7000</v>
      </c>
      <c r="P23" s="59">
        <f>Table224578910112345678910111213141516171819202122232425262728293031[[#This Row],[PEMBULATAN]]*O23</f>
        <v>166600</v>
      </c>
    </row>
    <row r="24" spans="1:16" ht="26.25" customHeight="1" x14ac:dyDescent="0.2">
      <c r="A24" s="104"/>
      <c r="B24" s="104"/>
      <c r="C24" s="92" t="s">
        <v>634</v>
      </c>
      <c r="D24" s="106" t="s">
        <v>59</v>
      </c>
      <c r="E24" s="93">
        <v>44514</v>
      </c>
      <c r="F24" s="106" t="s">
        <v>60</v>
      </c>
      <c r="G24" s="93">
        <v>44517</v>
      </c>
      <c r="H24" s="92" t="s">
        <v>611</v>
      </c>
      <c r="I24" s="92">
        <v>69</v>
      </c>
      <c r="J24" s="92">
        <v>38</v>
      </c>
      <c r="K24" s="92">
        <v>30</v>
      </c>
      <c r="L24" s="92">
        <v>20</v>
      </c>
      <c r="M24" s="92">
        <v>19.664999999999999</v>
      </c>
      <c r="N24" s="109">
        <v>20</v>
      </c>
      <c r="O24" s="58">
        <v>7000</v>
      </c>
      <c r="P24" s="59">
        <f>Table224578910112345678910111213141516171819202122232425262728293031[[#This Row],[PEMBULATAN]]*O24</f>
        <v>140000</v>
      </c>
    </row>
    <row r="25" spans="1:16" ht="26.25" customHeight="1" x14ac:dyDescent="0.2">
      <c r="A25" s="104"/>
      <c r="B25" s="104"/>
      <c r="C25" s="92" t="s">
        <v>635</v>
      </c>
      <c r="D25" s="106" t="s">
        <v>59</v>
      </c>
      <c r="E25" s="93">
        <v>44514</v>
      </c>
      <c r="F25" s="106" t="s">
        <v>60</v>
      </c>
      <c r="G25" s="93">
        <v>44517</v>
      </c>
      <c r="H25" s="92" t="s">
        <v>611</v>
      </c>
      <c r="I25" s="92">
        <v>63</v>
      </c>
      <c r="J25" s="92">
        <v>30</v>
      </c>
      <c r="K25" s="92">
        <v>21</v>
      </c>
      <c r="L25" s="92">
        <v>7</v>
      </c>
      <c r="M25" s="92">
        <v>9.9224999999999994</v>
      </c>
      <c r="N25" s="109">
        <v>9.9224999999999994</v>
      </c>
      <c r="O25" s="58">
        <v>7000</v>
      </c>
      <c r="P25" s="59">
        <f>Table224578910112345678910111213141516171819202122232425262728293031[[#This Row],[PEMBULATAN]]*O25</f>
        <v>69457.5</v>
      </c>
    </row>
    <row r="26" spans="1:16" ht="26.25" customHeight="1" x14ac:dyDescent="0.2">
      <c r="A26" s="104"/>
      <c r="B26" s="104"/>
      <c r="C26" s="92" t="s">
        <v>636</v>
      </c>
      <c r="D26" s="106" t="s">
        <v>59</v>
      </c>
      <c r="E26" s="93">
        <v>44514</v>
      </c>
      <c r="F26" s="106" t="s">
        <v>60</v>
      </c>
      <c r="G26" s="93">
        <v>44517</v>
      </c>
      <c r="H26" s="92" t="s">
        <v>611</v>
      </c>
      <c r="I26" s="92">
        <v>58</v>
      </c>
      <c r="J26" s="92">
        <v>48</v>
      </c>
      <c r="K26" s="92">
        <v>38</v>
      </c>
      <c r="L26" s="92">
        <v>14</v>
      </c>
      <c r="M26" s="92">
        <v>26.448</v>
      </c>
      <c r="N26" s="109">
        <v>27</v>
      </c>
      <c r="O26" s="58">
        <v>7000</v>
      </c>
      <c r="P26" s="59">
        <f>Table224578910112345678910111213141516171819202122232425262728293031[[#This Row],[PEMBULATAN]]*O26</f>
        <v>189000</v>
      </c>
    </row>
    <row r="27" spans="1:16" ht="26.25" customHeight="1" x14ac:dyDescent="0.2">
      <c r="A27" s="104"/>
      <c r="B27" s="104"/>
      <c r="C27" s="92" t="s">
        <v>637</v>
      </c>
      <c r="D27" s="106" t="s">
        <v>59</v>
      </c>
      <c r="E27" s="93">
        <v>44514</v>
      </c>
      <c r="F27" s="106" t="s">
        <v>60</v>
      </c>
      <c r="G27" s="93">
        <v>44517</v>
      </c>
      <c r="H27" s="92" t="s">
        <v>611</v>
      </c>
      <c r="I27" s="92">
        <v>86</v>
      </c>
      <c r="J27" s="92">
        <v>28</v>
      </c>
      <c r="K27" s="92">
        <v>15</v>
      </c>
      <c r="L27" s="92">
        <v>46</v>
      </c>
      <c r="M27" s="92">
        <v>9.0299999999999994</v>
      </c>
      <c r="N27" s="109">
        <v>46</v>
      </c>
      <c r="O27" s="58">
        <v>7000</v>
      </c>
      <c r="P27" s="59">
        <f>Table224578910112345678910111213141516171819202122232425262728293031[[#This Row],[PEMBULATAN]]*O27</f>
        <v>322000</v>
      </c>
    </row>
    <row r="28" spans="1:16" ht="26.25" customHeight="1" x14ac:dyDescent="0.2">
      <c r="A28" s="104"/>
      <c r="B28" s="104"/>
      <c r="C28" s="92" t="s">
        <v>638</v>
      </c>
      <c r="D28" s="106" t="s">
        <v>59</v>
      </c>
      <c r="E28" s="93">
        <v>44514</v>
      </c>
      <c r="F28" s="106" t="s">
        <v>60</v>
      </c>
      <c r="G28" s="93">
        <v>44517</v>
      </c>
      <c r="H28" s="92" t="s">
        <v>611</v>
      </c>
      <c r="I28" s="92">
        <v>75</v>
      </c>
      <c r="J28" s="92">
        <v>20</v>
      </c>
      <c r="K28" s="92">
        <v>10</v>
      </c>
      <c r="L28" s="92">
        <v>37</v>
      </c>
      <c r="M28" s="92">
        <v>3.75</v>
      </c>
      <c r="N28" s="109">
        <v>37</v>
      </c>
      <c r="O28" s="58">
        <v>7000</v>
      </c>
      <c r="P28" s="59">
        <f>Table224578910112345678910111213141516171819202122232425262728293031[[#This Row],[PEMBULATAN]]*O28</f>
        <v>259000</v>
      </c>
    </row>
    <row r="29" spans="1:16" ht="26.25" customHeight="1" x14ac:dyDescent="0.2">
      <c r="A29" s="104"/>
      <c r="B29" s="104"/>
      <c r="C29" s="92" t="s">
        <v>639</v>
      </c>
      <c r="D29" s="106" t="s">
        <v>59</v>
      </c>
      <c r="E29" s="93">
        <v>44514</v>
      </c>
      <c r="F29" s="106" t="s">
        <v>60</v>
      </c>
      <c r="G29" s="93">
        <v>44517</v>
      </c>
      <c r="H29" s="92" t="s">
        <v>611</v>
      </c>
      <c r="I29" s="92">
        <v>75</v>
      </c>
      <c r="J29" s="92">
        <v>20</v>
      </c>
      <c r="K29" s="92">
        <v>10</v>
      </c>
      <c r="L29" s="92">
        <v>37</v>
      </c>
      <c r="M29" s="92">
        <v>3.75</v>
      </c>
      <c r="N29" s="109">
        <v>37</v>
      </c>
      <c r="O29" s="58">
        <v>7000</v>
      </c>
      <c r="P29" s="59">
        <f>Table224578910112345678910111213141516171819202122232425262728293031[[#This Row],[PEMBULATAN]]*O29</f>
        <v>259000</v>
      </c>
    </row>
    <row r="30" spans="1:16" ht="26.25" customHeight="1" x14ac:dyDescent="0.2">
      <c r="A30" s="104"/>
      <c r="B30" s="105"/>
      <c r="C30" s="92" t="s">
        <v>640</v>
      </c>
      <c r="D30" s="106" t="s">
        <v>59</v>
      </c>
      <c r="E30" s="93">
        <v>44514</v>
      </c>
      <c r="F30" s="106" t="s">
        <v>60</v>
      </c>
      <c r="G30" s="93">
        <v>44517</v>
      </c>
      <c r="H30" s="92" t="s">
        <v>611</v>
      </c>
      <c r="I30" s="92">
        <v>47</v>
      </c>
      <c r="J30" s="92">
        <v>46</v>
      </c>
      <c r="K30" s="92">
        <v>35</v>
      </c>
      <c r="L30" s="92">
        <v>12</v>
      </c>
      <c r="M30" s="92">
        <v>18.9175</v>
      </c>
      <c r="N30" s="109">
        <v>18.9175</v>
      </c>
      <c r="O30" s="58">
        <v>7000</v>
      </c>
      <c r="P30" s="59">
        <f>Table224578910112345678910111213141516171819202122232425262728293031[[#This Row],[PEMBULATAN]]*O30</f>
        <v>132422.5</v>
      </c>
    </row>
    <row r="31" spans="1:16" ht="26.25" customHeight="1" x14ac:dyDescent="0.2">
      <c r="A31" s="104"/>
      <c r="B31" s="104" t="s">
        <v>641</v>
      </c>
      <c r="C31" s="92" t="s">
        <v>642</v>
      </c>
      <c r="D31" s="106" t="s">
        <v>59</v>
      </c>
      <c r="E31" s="93">
        <v>44514</v>
      </c>
      <c r="F31" s="106" t="s">
        <v>60</v>
      </c>
      <c r="G31" s="93">
        <v>44517</v>
      </c>
      <c r="H31" s="92" t="s">
        <v>611</v>
      </c>
      <c r="I31" s="92">
        <v>68</v>
      </c>
      <c r="J31" s="92">
        <v>38</v>
      </c>
      <c r="K31" s="92">
        <v>21</v>
      </c>
      <c r="L31" s="92">
        <v>10</v>
      </c>
      <c r="M31" s="92">
        <v>13.566000000000001</v>
      </c>
      <c r="N31" s="109">
        <v>13.566000000000001</v>
      </c>
      <c r="O31" s="58">
        <v>7000</v>
      </c>
      <c r="P31" s="59">
        <f>Table224578910112345678910111213141516171819202122232425262728293031[[#This Row],[PEMBULATAN]]*O31</f>
        <v>94962</v>
      </c>
    </row>
    <row r="32" spans="1:16" ht="26.25" customHeight="1" x14ac:dyDescent="0.2">
      <c r="A32" s="104"/>
      <c r="B32" s="104"/>
      <c r="C32" s="92" t="s">
        <v>643</v>
      </c>
      <c r="D32" s="106" t="s">
        <v>59</v>
      </c>
      <c r="E32" s="93">
        <v>44514</v>
      </c>
      <c r="F32" s="106" t="s">
        <v>60</v>
      </c>
      <c r="G32" s="93">
        <v>44517</v>
      </c>
      <c r="H32" s="92" t="s">
        <v>611</v>
      </c>
      <c r="I32" s="92">
        <v>55</v>
      </c>
      <c r="J32" s="92">
        <v>26</v>
      </c>
      <c r="K32" s="92">
        <v>14</v>
      </c>
      <c r="L32" s="92">
        <v>6</v>
      </c>
      <c r="M32" s="92">
        <v>5.0049999999999999</v>
      </c>
      <c r="N32" s="109">
        <v>6</v>
      </c>
      <c r="O32" s="58">
        <v>7000</v>
      </c>
      <c r="P32" s="59">
        <f>Table224578910112345678910111213141516171819202122232425262728293031[[#This Row],[PEMBULATAN]]*O32</f>
        <v>42000</v>
      </c>
    </row>
    <row r="33" spans="1:16" ht="26.25" customHeight="1" x14ac:dyDescent="0.2">
      <c r="A33" s="104"/>
      <c r="B33" s="104"/>
      <c r="C33" s="92" t="s">
        <v>644</v>
      </c>
      <c r="D33" s="106" t="s">
        <v>59</v>
      </c>
      <c r="E33" s="93">
        <v>44514</v>
      </c>
      <c r="F33" s="106" t="s">
        <v>60</v>
      </c>
      <c r="G33" s="93">
        <v>44517</v>
      </c>
      <c r="H33" s="92" t="s">
        <v>611</v>
      </c>
      <c r="I33" s="92">
        <v>76</v>
      </c>
      <c r="J33" s="92">
        <v>56</v>
      </c>
      <c r="K33" s="92">
        <v>45</v>
      </c>
      <c r="L33" s="92">
        <v>28</v>
      </c>
      <c r="M33" s="92">
        <v>47.88</v>
      </c>
      <c r="N33" s="109">
        <v>47.88</v>
      </c>
      <c r="O33" s="58">
        <v>7000</v>
      </c>
      <c r="P33" s="59">
        <f>Table224578910112345678910111213141516171819202122232425262728293031[[#This Row],[PEMBULATAN]]*O33</f>
        <v>335160</v>
      </c>
    </row>
    <row r="34" spans="1:16" ht="26.25" customHeight="1" x14ac:dyDescent="0.2">
      <c r="A34" s="104"/>
      <c r="B34" s="104"/>
      <c r="C34" s="92" t="s">
        <v>645</v>
      </c>
      <c r="D34" s="106" t="s">
        <v>59</v>
      </c>
      <c r="E34" s="93">
        <v>44514</v>
      </c>
      <c r="F34" s="106" t="s">
        <v>60</v>
      </c>
      <c r="G34" s="93">
        <v>44517</v>
      </c>
      <c r="H34" s="92" t="s">
        <v>611</v>
      </c>
      <c r="I34" s="92">
        <v>40</v>
      </c>
      <c r="J34" s="92">
        <v>32</v>
      </c>
      <c r="K34" s="92">
        <v>40</v>
      </c>
      <c r="L34" s="92">
        <v>7</v>
      </c>
      <c r="M34" s="92">
        <v>12.8</v>
      </c>
      <c r="N34" s="109">
        <v>12.8</v>
      </c>
      <c r="O34" s="58">
        <v>7000</v>
      </c>
      <c r="P34" s="59">
        <f>Table224578910112345678910111213141516171819202122232425262728293031[[#This Row],[PEMBULATAN]]*O34</f>
        <v>89600</v>
      </c>
    </row>
    <row r="35" spans="1:16" ht="26.25" customHeight="1" x14ac:dyDescent="0.2">
      <c r="A35" s="104"/>
      <c r="B35" s="104"/>
      <c r="C35" s="92" t="s">
        <v>646</v>
      </c>
      <c r="D35" s="106" t="s">
        <v>59</v>
      </c>
      <c r="E35" s="93">
        <v>44514</v>
      </c>
      <c r="F35" s="106" t="s">
        <v>60</v>
      </c>
      <c r="G35" s="93">
        <v>44517</v>
      </c>
      <c r="H35" s="92" t="s">
        <v>611</v>
      </c>
      <c r="I35" s="92">
        <v>43</v>
      </c>
      <c r="J35" s="92">
        <v>30</v>
      </c>
      <c r="K35" s="92">
        <v>26</v>
      </c>
      <c r="L35" s="92">
        <v>2</v>
      </c>
      <c r="M35" s="92">
        <v>8.3849999999999998</v>
      </c>
      <c r="N35" s="109">
        <v>9</v>
      </c>
      <c r="O35" s="58">
        <v>7000</v>
      </c>
      <c r="P35" s="59">
        <f>Table224578910112345678910111213141516171819202122232425262728293031[[#This Row],[PEMBULATAN]]*O35</f>
        <v>63000</v>
      </c>
    </row>
    <row r="36" spans="1:16" ht="26.25" customHeight="1" x14ac:dyDescent="0.2">
      <c r="A36" s="105"/>
      <c r="B36" s="105"/>
      <c r="C36" s="92" t="s">
        <v>647</v>
      </c>
      <c r="D36" s="106" t="s">
        <v>59</v>
      </c>
      <c r="E36" s="93">
        <v>44514</v>
      </c>
      <c r="F36" s="106" t="s">
        <v>60</v>
      </c>
      <c r="G36" s="93">
        <v>44517</v>
      </c>
      <c r="H36" s="92" t="s">
        <v>611</v>
      </c>
      <c r="I36" s="92">
        <v>10</v>
      </c>
      <c r="J36" s="92">
        <v>15</v>
      </c>
      <c r="K36" s="92">
        <v>5</v>
      </c>
      <c r="L36" s="92">
        <v>1</v>
      </c>
      <c r="M36" s="92">
        <v>0.1875</v>
      </c>
      <c r="N36" s="109">
        <v>1</v>
      </c>
      <c r="O36" s="58">
        <v>7000</v>
      </c>
      <c r="P36" s="59">
        <f>Table224578910112345678910111213141516171819202122232425262728293031[[#This Row],[PEMBULATAN]]*O36</f>
        <v>7000</v>
      </c>
    </row>
    <row r="37" spans="1:16" ht="22.5" customHeight="1" x14ac:dyDescent="0.2">
      <c r="A37" s="145" t="s">
        <v>30</v>
      </c>
      <c r="B37" s="146"/>
      <c r="C37" s="146"/>
      <c r="D37" s="146"/>
      <c r="E37" s="146"/>
      <c r="F37" s="146"/>
      <c r="G37" s="146"/>
      <c r="H37" s="146"/>
      <c r="I37" s="146"/>
      <c r="J37" s="146"/>
      <c r="K37" s="146"/>
      <c r="L37" s="147"/>
      <c r="M37" s="73">
        <f>SUBTOTAL(109,Table224578910112345678910111213141516171819202122232425262728293031[KG VOLUME])</f>
        <v>586.70425</v>
      </c>
      <c r="N37" s="62">
        <f>SUM(N3:N36)</f>
        <v>700.14375000000007</v>
      </c>
      <c r="O37" s="148">
        <f>SUM(P3:P36)</f>
        <v>4901006.25</v>
      </c>
      <c r="P37" s="149"/>
    </row>
    <row r="38" spans="1:16" ht="18" customHeight="1" x14ac:dyDescent="0.2">
      <c r="A38" s="80"/>
      <c r="B38" s="50" t="s">
        <v>42</v>
      </c>
      <c r="C38" s="49"/>
      <c r="D38" s="51" t="s">
        <v>43</v>
      </c>
      <c r="E38" s="80"/>
      <c r="F38" s="80"/>
      <c r="G38" s="80"/>
      <c r="H38" s="80"/>
      <c r="I38" s="80"/>
      <c r="J38" s="80"/>
      <c r="K38" s="80"/>
      <c r="L38" s="80"/>
      <c r="M38" s="81"/>
      <c r="N38" s="82" t="s">
        <v>52</v>
      </c>
      <c r="O38" s="83"/>
      <c r="P38" s="83">
        <v>0</v>
      </c>
    </row>
    <row r="39" spans="1:16" ht="18" customHeight="1" thickBot="1" x14ac:dyDescent="0.25">
      <c r="A39" s="80"/>
      <c r="B39" s="50"/>
      <c r="C39" s="49"/>
      <c r="D39" s="51"/>
      <c r="E39" s="80"/>
      <c r="F39" s="80"/>
      <c r="G39" s="80"/>
      <c r="H39" s="80"/>
      <c r="I39" s="80"/>
      <c r="J39" s="80"/>
      <c r="K39" s="80"/>
      <c r="L39" s="80"/>
      <c r="M39" s="81"/>
      <c r="N39" s="84" t="s">
        <v>53</v>
      </c>
      <c r="O39" s="85"/>
      <c r="P39" s="85">
        <f>O37-P38</f>
        <v>4901006.25</v>
      </c>
    </row>
    <row r="40" spans="1:16" ht="18" customHeight="1" x14ac:dyDescent="0.2">
      <c r="A40" s="11"/>
      <c r="H40" s="57"/>
      <c r="N40" s="56" t="s">
        <v>31</v>
      </c>
      <c r="P40" s="63">
        <f>P39*1%</f>
        <v>49010.0625</v>
      </c>
    </row>
    <row r="41" spans="1:16" ht="18" customHeight="1" thickBot="1" x14ac:dyDescent="0.25">
      <c r="A41" s="11"/>
      <c r="H41" s="57"/>
      <c r="N41" s="56" t="s">
        <v>54</v>
      </c>
      <c r="P41" s="65">
        <f>P39*2%</f>
        <v>98020.125</v>
      </c>
    </row>
    <row r="42" spans="1:16" ht="18" customHeight="1" x14ac:dyDescent="0.2">
      <c r="A42" s="11"/>
      <c r="H42" s="57"/>
      <c r="N42" s="60" t="s">
        <v>32</v>
      </c>
      <c r="O42" s="61"/>
      <c r="P42" s="64">
        <f>P39+P40-P41</f>
        <v>4851996.1875</v>
      </c>
    </row>
    <row r="44" spans="1:16" x14ac:dyDescent="0.2">
      <c r="A44" s="11"/>
      <c r="H44" s="57"/>
      <c r="P44" s="65"/>
    </row>
    <row r="45" spans="1:16" x14ac:dyDescent="0.2">
      <c r="A45" s="11"/>
      <c r="H45" s="57"/>
      <c r="O45" s="52"/>
      <c r="P45" s="65"/>
    </row>
    <row r="46" spans="1:16" s="3" customFormat="1" x14ac:dyDescent="0.25">
      <c r="A46" s="11"/>
      <c r="B46" s="2"/>
      <c r="C46" s="2"/>
      <c r="E46" s="12"/>
      <c r="H46" s="57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57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57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57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57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57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57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57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57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57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57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57"/>
      <c r="N57" s="15"/>
      <c r="O57" s="15"/>
      <c r="P57" s="15"/>
    </row>
  </sheetData>
  <mergeCells count="2">
    <mergeCell ref="A37:L37"/>
    <mergeCell ref="O37:P37"/>
  </mergeCells>
  <conditionalFormatting sqref="C3:C36">
    <cfRule type="duplicateValues" dxfId="191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I8" sqref="I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5703125" style="12" customWidth="1"/>
    <col min="6" max="6" width="11.85546875" style="3" customWidth="1"/>
    <col min="7" max="7" width="9.5703125" style="3" customWidth="1"/>
    <col min="8" max="8" width="15.5703125" style="6" customWidth="1"/>
    <col min="9" max="11" width="4.42578125" style="3" customWidth="1"/>
    <col min="12" max="12" width="5" style="3" customWidth="1"/>
    <col min="13" max="13" width="8.5703125" style="3" customWidth="1"/>
    <col min="14" max="14" width="12.5703125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3">
        <v>404025</v>
      </c>
      <c r="B3" s="103" t="s">
        <v>648</v>
      </c>
      <c r="C3" s="92" t="s">
        <v>649</v>
      </c>
      <c r="D3" s="106" t="s">
        <v>59</v>
      </c>
      <c r="E3" s="93">
        <v>44515</v>
      </c>
      <c r="F3" s="106" t="s">
        <v>60</v>
      </c>
      <c r="G3" s="93">
        <v>44517</v>
      </c>
      <c r="H3" s="92" t="s">
        <v>611</v>
      </c>
      <c r="I3" s="92">
        <v>91</v>
      </c>
      <c r="J3" s="92">
        <v>42</v>
      </c>
      <c r="K3" s="92">
        <v>3</v>
      </c>
      <c r="L3" s="92">
        <v>7</v>
      </c>
      <c r="M3" s="111">
        <v>2.8664999999999998</v>
      </c>
      <c r="N3" s="109">
        <v>7</v>
      </c>
      <c r="O3" s="58">
        <v>7000</v>
      </c>
      <c r="P3" s="59">
        <f>Table22457891011234567891011121314151617181920212223242526272829303132[[#This Row],[PEMBULATAN]]*O3</f>
        <v>49000</v>
      </c>
    </row>
    <row r="4" spans="1:16" ht="26.25" customHeight="1" x14ac:dyDescent="0.2">
      <c r="A4" s="104"/>
      <c r="B4" s="104"/>
      <c r="C4" s="92" t="s">
        <v>650</v>
      </c>
      <c r="D4" s="106" t="s">
        <v>59</v>
      </c>
      <c r="E4" s="93">
        <v>44515</v>
      </c>
      <c r="F4" s="106" t="s">
        <v>60</v>
      </c>
      <c r="G4" s="93">
        <v>44517</v>
      </c>
      <c r="H4" s="92" t="s">
        <v>611</v>
      </c>
      <c r="I4" s="92">
        <v>62</v>
      </c>
      <c r="J4" s="92">
        <v>36</v>
      </c>
      <c r="K4" s="92">
        <v>40</v>
      </c>
      <c r="L4" s="92">
        <v>18</v>
      </c>
      <c r="M4" s="111">
        <v>22.32</v>
      </c>
      <c r="N4" s="109">
        <v>23</v>
      </c>
      <c r="O4" s="58">
        <v>7000</v>
      </c>
      <c r="P4" s="59">
        <f>Table22457891011234567891011121314151617181920212223242526272829303132[[#This Row],[PEMBULATAN]]*O4</f>
        <v>161000</v>
      </c>
    </row>
    <row r="5" spans="1:16" ht="26.25" customHeight="1" x14ac:dyDescent="0.2">
      <c r="A5" s="104"/>
      <c r="B5" s="104"/>
      <c r="C5" s="92" t="s">
        <v>651</v>
      </c>
      <c r="D5" s="106" t="s">
        <v>59</v>
      </c>
      <c r="E5" s="93">
        <v>44515</v>
      </c>
      <c r="F5" s="106" t="s">
        <v>60</v>
      </c>
      <c r="G5" s="93">
        <v>44517</v>
      </c>
      <c r="H5" s="92" t="s">
        <v>611</v>
      </c>
      <c r="I5" s="92">
        <v>56</v>
      </c>
      <c r="J5" s="92">
        <v>45</v>
      </c>
      <c r="K5" s="92">
        <v>34</v>
      </c>
      <c r="L5" s="92">
        <v>10</v>
      </c>
      <c r="M5" s="111">
        <v>21.42</v>
      </c>
      <c r="N5" s="109">
        <v>22</v>
      </c>
      <c r="O5" s="58">
        <v>7000</v>
      </c>
      <c r="P5" s="59">
        <f>Table22457891011234567891011121314151617181920212223242526272829303132[[#This Row],[PEMBULATAN]]*O5</f>
        <v>154000</v>
      </c>
    </row>
    <row r="6" spans="1:16" ht="26.25" customHeight="1" x14ac:dyDescent="0.2">
      <c r="A6" s="105"/>
      <c r="B6" s="105"/>
      <c r="C6" s="92" t="s">
        <v>652</v>
      </c>
      <c r="D6" s="106" t="s">
        <v>59</v>
      </c>
      <c r="E6" s="93">
        <v>44515</v>
      </c>
      <c r="F6" s="106" t="s">
        <v>60</v>
      </c>
      <c r="G6" s="93">
        <v>44517</v>
      </c>
      <c r="H6" s="92" t="s">
        <v>611</v>
      </c>
      <c r="I6" s="92">
        <v>55</v>
      </c>
      <c r="J6" s="92">
        <v>30</v>
      </c>
      <c r="K6" s="92">
        <v>20</v>
      </c>
      <c r="L6" s="92">
        <v>6</v>
      </c>
      <c r="M6" s="111">
        <v>8.25</v>
      </c>
      <c r="N6" s="109">
        <v>8.25</v>
      </c>
      <c r="O6" s="58">
        <v>7000</v>
      </c>
      <c r="P6" s="59">
        <f>Table22457891011234567891011121314151617181920212223242526272829303132[[#This Row],[PEMBULATAN]]*O6</f>
        <v>57750</v>
      </c>
    </row>
    <row r="7" spans="1:16" ht="22.5" customHeight="1" x14ac:dyDescent="0.2">
      <c r="A7" s="145" t="s">
        <v>30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7"/>
      <c r="M7" s="73">
        <f>SUBTOTAL(109,Table22457891011234567891011121314151617181920212223242526272829303132[KG VOLUME])</f>
        <v>54.856499999999997</v>
      </c>
      <c r="N7" s="62">
        <f>SUM(N3:N6)</f>
        <v>60.25</v>
      </c>
      <c r="O7" s="148">
        <f>SUM(P3:P6)</f>
        <v>421750</v>
      </c>
      <c r="P7" s="149"/>
    </row>
    <row r="8" spans="1:16" ht="18" customHeight="1" x14ac:dyDescent="0.2">
      <c r="A8" s="80"/>
      <c r="B8" s="50" t="s">
        <v>42</v>
      </c>
      <c r="C8" s="49"/>
      <c r="D8" s="51" t="s">
        <v>43</v>
      </c>
      <c r="E8" s="80"/>
      <c r="F8" s="80"/>
      <c r="G8" s="80"/>
      <c r="H8" s="80"/>
      <c r="I8" s="80"/>
      <c r="J8" s="80"/>
      <c r="K8" s="80"/>
      <c r="L8" s="80"/>
      <c r="M8" s="81"/>
      <c r="N8" s="82" t="s">
        <v>52</v>
      </c>
      <c r="O8" s="83"/>
      <c r="P8" s="83">
        <v>0</v>
      </c>
    </row>
    <row r="9" spans="1:16" ht="18" customHeight="1" thickBot="1" x14ac:dyDescent="0.25">
      <c r="A9" s="80"/>
      <c r="B9" s="50"/>
      <c r="C9" s="49"/>
      <c r="D9" s="51"/>
      <c r="E9" s="80"/>
      <c r="F9" s="80"/>
      <c r="G9" s="80"/>
      <c r="H9" s="80"/>
      <c r="I9" s="80"/>
      <c r="J9" s="80"/>
      <c r="K9" s="80"/>
      <c r="L9" s="80"/>
      <c r="M9" s="81"/>
      <c r="N9" s="84" t="s">
        <v>53</v>
      </c>
      <c r="O9" s="85"/>
      <c r="P9" s="85">
        <f>O7-P8</f>
        <v>421750</v>
      </c>
    </row>
    <row r="10" spans="1:16" ht="18" customHeight="1" x14ac:dyDescent="0.2">
      <c r="A10" s="11"/>
      <c r="H10" s="57"/>
      <c r="N10" s="56" t="s">
        <v>31</v>
      </c>
      <c r="P10" s="63">
        <f>P9*1%</f>
        <v>4217.5</v>
      </c>
    </row>
    <row r="11" spans="1:16" ht="18" customHeight="1" thickBot="1" x14ac:dyDescent="0.25">
      <c r="A11" s="11"/>
      <c r="H11" s="57"/>
      <c r="N11" s="56" t="s">
        <v>54</v>
      </c>
      <c r="P11" s="65">
        <f>P9*2%</f>
        <v>8435</v>
      </c>
    </row>
    <row r="12" spans="1:16" ht="18" customHeight="1" x14ac:dyDescent="0.2">
      <c r="A12" s="11"/>
      <c r="H12" s="57"/>
      <c r="N12" s="60" t="s">
        <v>32</v>
      </c>
      <c r="O12" s="61"/>
      <c r="P12" s="64">
        <f>P9+P10-P11</f>
        <v>417532.5</v>
      </c>
    </row>
    <row r="14" spans="1:16" x14ac:dyDescent="0.2">
      <c r="A14" s="11"/>
      <c r="H14" s="57"/>
      <c r="P14" s="65"/>
    </row>
    <row r="15" spans="1:16" x14ac:dyDescent="0.2">
      <c r="A15" s="11"/>
      <c r="H15" s="57"/>
      <c r="O15" s="52"/>
      <c r="P15" s="65"/>
    </row>
    <row r="16" spans="1:16" s="3" customFormat="1" x14ac:dyDescent="0.25">
      <c r="A16" s="11"/>
      <c r="B16" s="2"/>
      <c r="C16" s="2"/>
      <c r="E16" s="12"/>
      <c r="H16" s="57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57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57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57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7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7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7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7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7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7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57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57"/>
      <c r="N27" s="15"/>
      <c r="O27" s="15"/>
      <c r="P27" s="15"/>
    </row>
  </sheetData>
  <mergeCells count="2">
    <mergeCell ref="A7:L7"/>
    <mergeCell ref="O7:P7"/>
  </mergeCells>
  <conditionalFormatting sqref="C3:C6">
    <cfRule type="duplicateValues" dxfId="17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9"/>
  <sheetViews>
    <sheetView zoomScale="110" zoomScaleNormal="110" workbookViewId="0">
      <pane xSplit="3" ySplit="2" topLeftCell="D15" activePane="bottomRight" state="frozen"/>
      <selection pane="topRight" activeCell="B1" sqref="B1"/>
      <selection pane="bottomLeft" activeCell="A3" sqref="A3"/>
      <selection pane="bottomRight" activeCell="J24" sqref="J24"/>
    </sheetView>
  </sheetViews>
  <sheetFormatPr defaultRowHeight="15" x14ac:dyDescent="0.2"/>
  <cols>
    <col min="1" max="1" width="8" style="4" customWidth="1"/>
    <col min="2" max="2" width="19.5703125" style="2" customWidth="1"/>
    <col min="3" max="3" width="15.28515625" style="2" customWidth="1"/>
    <col min="4" max="4" width="9" style="3" customWidth="1"/>
    <col min="5" max="5" width="9.140625" style="12" customWidth="1"/>
    <col min="6" max="6" width="9.7109375" style="3" customWidth="1"/>
    <col min="7" max="7" width="9.5703125" style="3" customWidth="1"/>
    <col min="8" max="8" width="15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2.28515625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3">
        <v>403872</v>
      </c>
      <c r="B3" s="103" t="s">
        <v>653</v>
      </c>
      <c r="C3" s="92" t="s">
        <v>654</v>
      </c>
      <c r="D3" s="106" t="s">
        <v>59</v>
      </c>
      <c r="E3" s="93">
        <v>44515</v>
      </c>
      <c r="F3" s="106" t="s">
        <v>60</v>
      </c>
      <c r="G3" s="93">
        <v>44517</v>
      </c>
      <c r="H3" s="92" t="s">
        <v>611</v>
      </c>
      <c r="I3" s="92">
        <v>47</v>
      </c>
      <c r="J3" s="92">
        <v>34</v>
      </c>
      <c r="K3" s="92">
        <v>24</v>
      </c>
      <c r="L3" s="92">
        <v>9</v>
      </c>
      <c r="M3" s="92">
        <v>9.5879999999999992</v>
      </c>
      <c r="N3" s="109">
        <v>9.5879999999999992</v>
      </c>
      <c r="O3" s="58">
        <v>7000</v>
      </c>
      <c r="P3" s="59">
        <f>Table2245789101123456789101112131415161718192021222324252627282930313233[[#This Row],[PEMBULATAN]]*O3</f>
        <v>67116</v>
      </c>
    </row>
    <row r="4" spans="1:16" ht="26.25" customHeight="1" x14ac:dyDescent="0.2">
      <c r="A4" s="104"/>
      <c r="B4" s="104"/>
      <c r="C4" s="92" t="s">
        <v>655</v>
      </c>
      <c r="D4" s="106" t="s">
        <v>59</v>
      </c>
      <c r="E4" s="93">
        <v>44515</v>
      </c>
      <c r="F4" s="106" t="s">
        <v>60</v>
      </c>
      <c r="G4" s="93">
        <v>44517</v>
      </c>
      <c r="H4" s="92" t="s">
        <v>611</v>
      </c>
      <c r="I4" s="92">
        <v>30</v>
      </c>
      <c r="J4" s="92">
        <v>32</v>
      </c>
      <c r="K4" s="92">
        <v>30</v>
      </c>
      <c r="L4" s="92">
        <v>5</v>
      </c>
      <c r="M4" s="92">
        <v>7.2</v>
      </c>
      <c r="N4" s="109">
        <v>7.2</v>
      </c>
      <c r="O4" s="58">
        <v>7000</v>
      </c>
      <c r="P4" s="59">
        <f>Table2245789101123456789101112131415161718192021222324252627282930313233[[#This Row],[PEMBULATAN]]*O4</f>
        <v>50400</v>
      </c>
    </row>
    <row r="5" spans="1:16" ht="26.25" customHeight="1" x14ac:dyDescent="0.2">
      <c r="A5" s="104"/>
      <c r="B5" s="104"/>
      <c r="C5" s="92" t="s">
        <v>656</v>
      </c>
      <c r="D5" s="106" t="s">
        <v>59</v>
      </c>
      <c r="E5" s="93">
        <v>44515</v>
      </c>
      <c r="F5" s="106" t="s">
        <v>60</v>
      </c>
      <c r="G5" s="93">
        <v>44517</v>
      </c>
      <c r="H5" s="92" t="s">
        <v>611</v>
      </c>
      <c r="I5" s="92">
        <v>67</v>
      </c>
      <c r="J5" s="92">
        <v>46</v>
      </c>
      <c r="K5" s="92">
        <v>15</v>
      </c>
      <c r="L5" s="92">
        <v>15</v>
      </c>
      <c r="M5" s="92">
        <v>11.557499999999999</v>
      </c>
      <c r="N5" s="109">
        <v>15</v>
      </c>
      <c r="O5" s="58">
        <v>7000</v>
      </c>
      <c r="P5" s="59">
        <f>Table2245789101123456789101112131415161718192021222324252627282930313233[[#This Row],[PEMBULATAN]]*O5</f>
        <v>105000</v>
      </c>
    </row>
    <row r="6" spans="1:16" ht="26.25" customHeight="1" x14ac:dyDescent="0.2">
      <c r="A6" s="104"/>
      <c r="B6" s="104"/>
      <c r="C6" s="92" t="s">
        <v>657</v>
      </c>
      <c r="D6" s="106" t="s">
        <v>59</v>
      </c>
      <c r="E6" s="93">
        <v>44515</v>
      </c>
      <c r="F6" s="106" t="s">
        <v>60</v>
      </c>
      <c r="G6" s="93">
        <v>44517</v>
      </c>
      <c r="H6" s="92" t="s">
        <v>611</v>
      </c>
      <c r="I6" s="92">
        <v>35</v>
      </c>
      <c r="J6" s="92">
        <v>36</v>
      </c>
      <c r="K6" s="92">
        <v>36</v>
      </c>
      <c r="L6" s="92">
        <v>6</v>
      </c>
      <c r="M6" s="92">
        <v>11.34</v>
      </c>
      <c r="N6" s="109">
        <v>12</v>
      </c>
      <c r="O6" s="58">
        <v>7000</v>
      </c>
      <c r="P6" s="59">
        <f>Table2245789101123456789101112131415161718192021222324252627282930313233[[#This Row],[PEMBULATAN]]*O6</f>
        <v>84000</v>
      </c>
    </row>
    <row r="7" spans="1:16" ht="26.25" customHeight="1" x14ac:dyDescent="0.2">
      <c r="A7" s="104"/>
      <c r="B7" s="104"/>
      <c r="C7" s="92" t="s">
        <v>658</v>
      </c>
      <c r="D7" s="106" t="s">
        <v>59</v>
      </c>
      <c r="E7" s="93">
        <v>44515</v>
      </c>
      <c r="F7" s="106" t="s">
        <v>60</v>
      </c>
      <c r="G7" s="93">
        <v>44517</v>
      </c>
      <c r="H7" s="92" t="s">
        <v>611</v>
      </c>
      <c r="I7" s="92">
        <v>44</v>
      </c>
      <c r="J7" s="92">
        <v>41</v>
      </c>
      <c r="K7" s="92">
        <v>17</v>
      </c>
      <c r="L7" s="92">
        <v>5</v>
      </c>
      <c r="M7" s="92">
        <v>7.6669999999999998</v>
      </c>
      <c r="N7" s="109">
        <v>7.6669999999999998</v>
      </c>
      <c r="O7" s="58">
        <v>7000</v>
      </c>
      <c r="P7" s="59">
        <f>Table2245789101123456789101112131415161718192021222324252627282930313233[[#This Row],[PEMBULATAN]]*O7</f>
        <v>53669</v>
      </c>
    </row>
    <row r="8" spans="1:16" ht="26.25" customHeight="1" x14ac:dyDescent="0.2">
      <c r="A8" s="104"/>
      <c r="B8" s="104"/>
      <c r="C8" s="92" t="s">
        <v>659</v>
      </c>
      <c r="D8" s="106" t="s">
        <v>59</v>
      </c>
      <c r="E8" s="93">
        <v>44515</v>
      </c>
      <c r="F8" s="106" t="s">
        <v>60</v>
      </c>
      <c r="G8" s="93">
        <v>44517</v>
      </c>
      <c r="H8" s="92" t="s">
        <v>611</v>
      </c>
      <c r="I8" s="92">
        <v>51</v>
      </c>
      <c r="J8" s="92">
        <v>41</v>
      </c>
      <c r="K8" s="92">
        <v>13</v>
      </c>
      <c r="L8" s="92">
        <v>23</v>
      </c>
      <c r="M8" s="92">
        <v>6.79575</v>
      </c>
      <c r="N8" s="109">
        <v>23</v>
      </c>
      <c r="O8" s="58">
        <v>7000</v>
      </c>
      <c r="P8" s="59">
        <f>Table2245789101123456789101112131415161718192021222324252627282930313233[[#This Row],[PEMBULATAN]]*O8</f>
        <v>161000</v>
      </c>
    </row>
    <row r="9" spans="1:16" ht="26.25" customHeight="1" x14ac:dyDescent="0.2">
      <c r="A9" s="104"/>
      <c r="B9" s="104"/>
      <c r="C9" s="92" t="s">
        <v>660</v>
      </c>
      <c r="D9" s="106" t="s">
        <v>59</v>
      </c>
      <c r="E9" s="93">
        <v>44515</v>
      </c>
      <c r="F9" s="106" t="s">
        <v>60</v>
      </c>
      <c r="G9" s="93">
        <v>44517</v>
      </c>
      <c r="H9" s="92" t="s">
        <v>611</v>
      </c>
      <c r="I9" s="92">
        <v>51</v>
      </c>
      <c r="J9" s="92">
        <v>41</v>
      </c>
      <c r="K9" s="92">
        <v>13</v>
      </c>
      <c r="L9" s="92">
        <v>23</v>
      </c>
      <c r="M9" s="92">
        <v>6.79575</v>
      </c>
      <c r="N9" s="109">
        <v>23</v>
      </c>
      <c r="O9" s="58">
        <v>7000</v>
      </c>
      <c r="P9" s="59">
        <f>Table2245789101123456789101112131415161718192021222324252627282930313233[[#This Row],[PEMBULATAN]]*O9</f>
        <v>161000</v>
      </c>
    </row>
    <row r="10" spans="1:16" ht="26.25" customHeight="1" x14ac:dyDescent="0.2">
      <c r="A10" s="104"/>
      <c r="B10" s="104"/>
      <c r="C10" s="92" t="s">
        <v>661</v>
      </c>
      <c r="D10" s="106" t="s">
        <v>59</v>
      </c>
      <c r="E10" s="93">
        <v>44515</v>
      </c>
      <c r="F10" s="106" t="s">
        <v>60</v>
      </c>
      <c r="G10" s="93">
        <v>44517</v>
      </c>
      <c r="H10" s="92" t="s">
        <v>611</v>
      </c>
      <c r="I10" s="92">
        <v>51</v>
      </c>
      <c r="J10" s="92">
        <v>41</v>
      </c>
      <c r="K10" s="92">
        <v>13</v>
      </c>
      <c r="L10" s="92">
        <v>23</v>
      </c>
      <c r="M10" s="92">
        <v>6.79575</v>
      </c>
      <c r="N10" s="109">
        <v>23</v>
      </c>
      <c r="O10" s="58">
        <v>7000</v>
      </c>
      <c r="P10" s="59">
        <f>Table2245789101123456789101112131415161718192021222324252627282930313233[[#This Row],[PEMBULATAN]]*O10</f>
        <v>161000</v>
      </c>
    </row>
    <row r="11" spans="1:16" ht="26.25" customHeight="1" x14ac:dyDescent="0.2">
      <c r="A11" s="104"/>
      <c r="B11" s="104"/>
      <c r="C11" s="92" t="s">
        <v>662</v>
      </c>
      <c r="D11" s="106" t="s">
        <v>59</v>
      </c>
      <c r="E11" s="93">
        <v>44515</v>
      </c>
      <c r="F11" s="106" t="s">
        <v>60</v>
      </c>
      <c r="G11" s="93">
        <v>44517</v>
      </c>
      <c r="H11" s="92" t="s">
        <v>611</v>
      </c>
      <c r="I11" s="92">
        <v>51</v>
      </c>
      <c r="J11" s="92">
        <v>41</v>
      </c>
      <c r="K11" s="92">
        <v>13</v>
      </c>
      <c r="L11" s="92">
        <v>24</v>
      </c>
      <c r="M11" s="92">
        <v>6.79575</v>
      </c>
      <c r="N11" s="109">
        <v>24</v>
      </c>
      <c r="O11" s="58">
        <v>7000</v>
      </c>
      <c r="P11" s="59">
        <f>Table2245789101123456789101112131415161718192021222324252627282930313233[[#This Row],[PEMBULATAN]]*O11</f>
        <v>168000</v>
      </c>
    </row>
    <row r="12" spans="1:16" ht="26.25" customHeight="1" x14ac:dyDescent="0.2">
      <c r="A12" s="104"/>
      <c r="B12" s="104"/>
      <c r="C12" s="92" t="s">
        <v>663</v>
      </c>
      <c r="D12" s="106" t="s">
        <v>59</v>
      </c>
      <c r="E12" s="93">
        <v>44515</v>
      </c>
      <c r="F12" s="106" t="s">
        <v>60</v>
      </c>
      <c r="G12" s="93">
        <v>44517</v>
      </c>
      <c r="H12" s="92" t="s">
        <v>611</v>
      </c>
      <c r="I12" s="92">
        <v>51</v>
      </c>
      <c r="J12" s="92">
        <v>41</v>
      </c>
      <c r="K12" s="92">
        <v>13</v>
      </c>
      <c r="L12" s="92">
        <v>23</v>
      </c>
      <c r="M12" s="92">
        <v>6.79575</v>
      </c>
      <c r="N12" s="109">
        <v>23</v>
      </c>
      <c r="O12" s="58">
        <v>7000</v>
      </c>
      <c r="P12" s="59">
        <f>Table2245789101123456789101112131415161718192021222324252627282930313233[[#This Row],[PEMBULATAN]]*O12</f>
        <v>161000</v>
      </c>
    </row>
    <row r="13" spans="1:16" ht="26.25" customHeight="1" x14ac:dyDescent="0.2">
      <c r="A13" s="104"/>
      <c r="B13" s="104"/>
      <c r="C13" s="92" t="s">
        <v>664</v>
      </c>
      <c r="D13" s="106" t="s">
        <v>59</v>
      </c>
      <c r="E13" s="93">
        <v>44515</v>
      </c>
      <c r="F13" s="106" t="s">
        <v>60</v>
      </c>
      <c r="G13" s="93">
        <v>44517</v>
      </c>
      <c r="H13" s="92" t="s">
        <v>611</v>
      </c>
      <c r="I13" s="92">
        <v>51</v>
      </c>
      <c r="J13" s="92">
        <v>41</v>
      </c>
      <c r="K13" s="92">
        <v>13</v>
      </c>
      <c r="L13" s="92">
        <v>13</v>
      </c>
      <c r="M13" s="92">
        <v>6.79575</v>
      </c>
      <c r="N13" s="109">
        <v>13</v>
      </c>
      <c r="O13" s="58">
        <v>7000</v>
      </c>
      <c r="P13" s="59">
        <f>Table2245789101123456789101112131415161718192021222324252627282930313233[[#This Row],[PEMBULATAN]]*O13</f>
        <v>91000</v>
      </c>
    </row>
    <row r="14" spans="1:16" ht="26.25" customHeight="1" x14ac:dyDescent="0.2">
      <c r="A14" s="104"/>
      <c r="B14" s="104"/>
      <c r="C14" s="92" t="s">
        <v>665</v>
      </c>
      <c r="D14" s="106" t="s">
        <v>59</v>
      </c>
      <c r="E14" s="93">
        <v>44515</v>
      </c>
      <c r="F14" s="106" t="s">
        <v>60</v>
      </c>
      <c r="G14" s="93">
        <v>44517</v>
      </c>
      <c r="H14" s="92" t="s">
        <v>611</v>
      </c>
      <c r="I14" s="92">
        <v>18</v>
      </c>
      <c r="J14" s="92">
        <v>20</v>
      </c>
      <c r="K14" s="92">
        <v>6</v>
      </c>
      <c r="L14" s="92">
        <v>7</v>
      </c>
      <c r="M14" s="92">
        <v>0.54</v>
      </c>
      <c r="N14" s="109">
        <v>7</v>
      </c>
      <c r="O14" s="58">
        <v>7000</v>
      </c>
      <c r="P14" s="59">
        <f>Table2245789101123456789101112131415161718192021222324252627282930313233[[#This Row],[PEMBULATAN]]*O14</f>
        <v>49000</v>
      </c>
    </row>
    <row r="15" spans="1:16" ht="26.25" customHeight="1" x14ac:dyDescent="0.2">
      <c r="A15" s="104"/>
      <c r="B15" s="104"/>
      <c r="C15" s="92" t="s">
        <v>666</v>
      </c>
      <c r="D15" s="106" t="s">
        <v>59</v>
      </c>
      <c r="E15" s="93">
        <v>44515</v>
      </c>
      <c r="F15" s="106" t="s">
        <v>60</v>
      </c>
      <c r="G15" s="93">
        <v>44517</v>
      </c>
      <c r="H15" s="92" t="s">
        <v>611</v>
      </c>
      <c r="I15" s="92">
        <v>30</v>
      </c>
      <c r="J15" s="92">
        <v>30</v>
      </c>
      <c r="K15" s="92">
        <v>10</v>
      </c>
      <c r="L15" s="92">
        <v>9</v>
      </c>
      <c r="M15" s="92">
        <v>2.25</v>
      </c>
      <c r="N15" s="109">
        <v>9</v>
      </c>
      <c r="O15" s="58">
        <v>7000</v>
      </c>
      <c r="P15" s="59">
        <f>Table2245789101123456789101112131415161718192021222324252627282930313233[[#This Row],[PEMBULATAN]]*O15</f>
        <v>63000</v>
      </c>
    </row>
    <row r="16" spans="1:16" ht="26.25" customHeight="1" x14ac:dyDescent="0.2">
      <c r="A16" s="104"/>
      <c r="B16" s="104"/>
      <c r="C16" s="92" t="s">
        <v>667</v>
      </c>
      <c r="D16" s="106" t="s">
        <v>59</v>
      </c>
      <c r="E16" s="93">
        <v>44515</v>
      </c>
      <c r="F16" s="106" t="s">
        <v>60</v>
      </c>
      <c r="G16" s="93">
        <v>44517</v>
      </c>
      <c r="H16" s="92" t="s">
        <v>611</v>
      </c>
      <c r="I16" s="92">
        <v>48</v>
      </c>
      <c r="J16" s="92">
        <v>48</v>
      </c>
      <c r="K16" s="92">
        <v>23</v>
      </c>
      <c r="L16" s="92">
        <v>7</v>
      </c>
      <c r="M16" s="92">
        <v>13.247999999999999</v>
      </c>
      <c r="N16" s="109">
        <v>13.247999999999999</v>
      </c>
      <c r="O16" s="58">
        <v>7000</v>
      </c>
      <c r="P16" s="59">
        <f>Table2245789101123456789101112131415161718192021222324252627282930313233[[#This Row],[PEMBULATAN]]*O16</f>
        <v>92736</v>
      </c>
    </row>
    <row r="17" spans="1:16" ht="26.25" customHeight="1" x14ac:dyDescent="0.2">
      <c r="A17" s="104"/>
      <c r="B17" s="105"/>
      <c r="C17" s="92" t="s">
        <v>668</v>
      </c>
      <c r="D17" s="106" t="s">
        <v>59</v>
      </c>
      <c r="E17" s="93">
        <v>44515</v>
      </c>
      <c r="F17" s="106" t="s">
        <v>60</v>
      </c>
      <c r="G17" s="93">
        <v>44517</v>
      </c>
      <c r="H17" s="92" t="s">
        <v>611</v>
      </c>
      <c r="I17" s="92">
        <v>105</v>
      </c>
      <c r="J17" s="92">
        <v>85</v>
      </c>
      <c r="K17" s="92">
        <v>32</v>
      </c>
      <c r="L17" s="92">
        <v>14</v>
      </c>
      <c r="M17" s="92">
        <v>71.400000000000006</v>
      </c>
      <c r="N17" s="109">
        <v>72</v>
      </c>
      <c r="O17" s="58">
        <v>7000</v>
      </c>
      <c r="P17" s="59">
        <f>Table2245789101123456789101112131415161718192021222324252627282930313233[[#This Row],[PEMBULATAN]]*O17</f>
        <v>504000</v>
      </c>
    </row>
    <row r="18" spans="1:16" ht="26.25" customHeight="1" x14ac:dyDescent="0.2">
      <c r="A18" s="105"/>
      <c r="B18" s="105" t="s">
        <v>669</v>
      </c>
      <c r="C18" s="92" t="s">
        <v>670</v>
      </c>
      <c r="D18" s="106" t="s">
        <v>59</v>
      </c>
      <c r="E18" s="93">
        <v>44515</v>
      </c>
      <c r="F18" s="106" t="s">
        <v>671</v>
      </c>
      <c r="G18" s="93">
        <v>44517</v>
      </c>
      <c r="H18" s="92" t="s">
        <v>611</v>
      </c>
      <c r="I18" s="92">
        <v>34</v>
      </c>
      <c r="J18" s="92">
        <v>32</v>
      </c>
      <c r="K18" s="92">
        <v>17</v>
      </c>
      <c r="L18" s="92">
        <v>7</v>
      </c>
      <c r="M18" s="92">
        <v>4.6239999999999997</v>
      </c>
      <c r="N18" s="109">
        <v>7</v>
      </c>
      <c r="O18" s="58">
        <v>7000</v>
      </c>
      <c r="P18" s="59">
        <f>Table2245789101123456789101112131415161718192021222324252627282930313233[[#This Row],[PEMBULATAN]]*O18</f>
        <v>49000</v>
      </c>
    </row>
    <row r="19" spans="1:16" ht="22.5" customHeight="1" x14ac:dyDescent="0.2">
      <c r="A19" s="145" t="s">
        <v>30</v>
      </c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7"/>
      <c r="M19" s="73">
        <f>SUBTOTAL(109,Table2245789101123456789101112131415161718192021222324252627282930313233[KG VOLUME])</f>
        <v>180.18899999999999</v>
      </c>
      <c r="N19" s="62">
        <f>SUM(N3:N18)</f>
        <v>288.70299999999997</v>
      </c>
      <c r="O19" s="148">
        <f>SUM(P3:P18)</f>
        <v>2020921</v>
      </c>
      <c r="P19" s="149"/>
    </row>
    <row r="20" spans="1:16" ht="18" customHeight="1" x14ac:dyDescent="0.2">
      <c r="A20" s="80"/>
      <c r="B20" s="50" t="s">
        <v>42</v>
      </c>
      <c r="C20" s="49"/>
      <c r="D20" s="51" t="s">
        <v>43</v>
      </c>
      <c r="E20" s="80"/>
      <c r="F20" s="80"/>
      <c r="G20" s="80"/>
      <c r="H20" s="80"/>
      <c r="I20" s="80"/>
      <c r="J20" s="80"/>
      <c r="K20" s="80"/>
      <c r="L20" s="80"/>
      <c r="M20" s="81"/>
      <c r="N20" s="82" t="s">
        <v>52</v>
      </c>
      <c r="O20" s="83"/>
      <c r="P20" s="83">
        <v>0</v>
      </c>
    </row>
    <row r="21" spans="1:16" ht="18" customHeight="1" thickBot="1" x14ac:dyDescent="0.25">
      <c r="A21" s="80"/>
      <c r="B21" s="50"/>
      <c r="C21" s="49"/>
      <c r="D21" s="51"/>
      <c r="E21" s="80"/>
      <c r="F21" s="80"/>
      <c r="G21" s="80"/>
      <c r="H21" s="80"/>
      <c r="I21" s="80"/>
      <c r="J21" s="80"/>
      <c r="K21" s="80"/>
      <c r="L21" s="80"/>
      <c r="M21" s="81"/>
      <c r="N21" s="84" t="s">
        <v>53</v>
      </c>
      <c r="O21" s="85"/>
      <c r="P21" s="85">
        <f>O19-P20</f>
        <v>2020921</v>
      </c>
    </row>
    <row r="22" spans="1:16" ht="18" customHeight="1" x14ac:dyDescent="0.2">
      <c r="A22" s="11"/>
      <c r="H22" s="57"/>
      <c r="N22" s="56" t="s">
        <v>31</v>
      </c>
      <c r="P22" s="63">
        <f>P21*1%</f>
        <v>20209.21</v>
      </c>
    </row>
    <row r="23" spans="1:16" ht="18" customHeight="1" thickBot="1" x14ac:dyDescent="0.25">
      <c r="A23" s="11"/>
      <c r="H23" s="57"/>
      <c r="N23" s="56" t="s">
        <v>54</v>
      </c>
      <c r="P23" s="65">
        <f>P21*2%</f>
        <v>40418.42</v>
      </c>
    </row>
    <row r="24" spans="1:16" ht="18" customHeight="1" x14ac:dyDescent="0.2">
      <c r="A24" s="11"/>
      <c r="H24" s="57"/>
      <c r="N24" s="60" t="s">
        <v>32</v>
      </c>
      <c r="O24" s="61"/>
      <c r="P24" s="64">
        <f>P21+P22-P23</f>
        <v>2000711.79</v>
      </c>
    </row>
    <row r="26" spans="1:16" x14ac:dyDescent="0.2">
      <c r="A26" s="11"/>
      <c r="H26" s="57"/>
      <c r="P26" s="65"/>
    </row>
    <row r="27" spans="1:16" x14ac:dyDescent="0.2">
      <c r="A27" s="11"/>
      <c r="H27" s="57"/>
      <c r="O27" s="52"/>
      <c r="P27" s="65"/>
    </row>
    <row r="28" spans="1:16" s="3" customFormat="1" x14ac:dyDescent="0.25">
      <c r="A28" s="11"/>
      <c r="B28" s="2"/>
      <c r="C28" s="2"/>
      <c r="E28" s="12"/>
      <c r="H28" s="57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57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57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57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57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57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57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57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57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57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57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57"/>
      <c r="N39" s="15"/>
      <c r="O39" s="15"/>
      <c r="P39" s="15"/>
    </row>
  </sheetData>
  <mergeCells count="2">
    <mergeCell ref="A19:L19"/>
    <mergeCell ref="O19:P19"/>
  </mergeCells>
  <conditionalFormatting sqref="C3:C18">
    <cfRule type="duplicateValues" dxfId="159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F6" sqref="F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.7109375" style="12" customWidth="1"/>
    <col min="6" max="6" width="11.4257812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2.5703125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3">
        <v>403214</v>
      </c>
      <c r="B3" s="103" t="s">
        <v>672</v>
      </c>
      <c r="C3" s="92" t="s">
        <v>673</v>
      </c>
      <c r="D3" s="106" t="s">
        <v>59</v>
      </c>
      <c r="E3" s="93">
        <v>44516</v>
      </c>
      <c r="F3" s="92" t="s">
        <v>169</v>
      </c>
      <c r="G3" s="93">
        <v>44518</v>
      </c>
      <c r="H3" s="92" t="s">
        <v>681</v>
      </c>
      <c r="I3" s="92">
        <v>52</v>
      </c>
      <c r="J3" s="92">
        <v>42</v>
      </c>
      <c r="K3" s="92">
        <v>25</v>
      </c>
      <c r="L3" s="92">
        <v>21</v>
      </c>
      <c r="M3" s="92">
        <v>13.65</v>
      </c>
      <c r="N3" s="114">
        <v>21</v>
      </c>
      <c r="O3" s="58">
        <v>7000</v>
      </c>
      <c r="P3" s="59">
        <f>Table224578910112345678910111213141516171819202122232425262728293031323334[[#This Row],[PEMBULATAN]]*O3</f>
        <v>147000</v>
      </c>
    </row>
    <row r="4" spans="1:16" ht="26.25" customHeight="1" x14ac:dyDescent="0.2">
      <c r="A4" s="104"/>
      <c r="B4" s="104"/>
      <c r="C4" s="92" t="s">
        <v>674</v>
      </c>
      <c r="D4" s="106" t="s">
        <v>59</v>
      </c>
      <c r="E4" s="93">
        <v>44516</v>
      </c>
      <c r="F4" s="92" t="s">
        <v>169</v>
      </c>
      <c r="G4" s="93">
        <v>44518</v>
      </c>
      <c r="H4" s="92" t="s">
        <v>681</v>
      </c>
      <c r="I4" s="92">
        <v>45</v>
      </c>
      <c r="J4" s="92">
        <v>40</v>
      </c>
      <c r="K4" s="92">
        <v>25</v>
      </c>
      <c r="L4" s="92">
        <v>21</v>
      </c>
      <c r="M4" s="92">
        <v>11.25</v>
      </c>
      <c r="N4" s="114">
        <v>21</v>
      </c>
      <c r="O4" s="58">
        <v>7000</v>
      </c>
      <c r="P4" s="59">
        <f>Table224578910112345678910111213141516171819202122232425262728293031323334[[#This Row],[PEMBULATAN]]*O4</f>
        <v>147000</v>
      </c>
    </row>
    <row r="5" spans="1:16" ht="26.25" customHeight="1" x14ac:dyDescent="0.2">
      <c r="A5" s="104"/>
      <c r="B5" s="104"/>
      <c r="C5" s="92" t="s">
        <v>675</v>
      </c>
      <c r="D5" s="106" t="s">
        <v>59</v>
      </c>
      <c r="E5" s="93">
        <v>44516</v>
      </c>
      <c r="F5" s="92" t="s">
        <v>169</v>
      </c>
      <c r="G5" s="93">
        <v>44518</v>
      </c>
      <c r="H5" s="92" t="s">
        <v>681</v>
      </c>
      <c r="I5" s="92">
        <v>45</v>
      </c>
      <c r="J5" s="92">
        <v>38</v>
      </c>
      <c r="K5" s="92">
        <v>25</v>
      </c>
      <c r="L5" s="92">
        <v>21</v>
      </c>
      <c r="M5" s="92">
        <v>10.6875</v>
      </c>
      <c r="N5" s="114">
        <v>21</v>
      </c>
      <c r="O5" s="58">
        <v>7000</v>
      </c>
      <c r="P5" s="59">
        <f>Table224578910112345678910111213141516171819202122232425262728293031323334[[#This Row],[PEMBULATAN]]*O5</f>
        <v>147000</v>
      </c>
    </row>
    <row r="6" spans="1:16" ht="26.25" customHeight="1" x14ac:dyDescent="0.2">
      <c r="A6" s="104"/>
      <c r="B6" s="104"/>
      <c r="C6" s="92" t="s">
        <v>676</v>
      </c>
      <c r="D6" s="106" t="s">
        <v>59</v>
      </c>
      <c r="E6" s="93">
        <v>44516</v>
      </c>
      <c r="F6" s="92" t="s">
        <v>169</v>
      </c>
      <c r="G6" s="93">
        <v>44518</v>
      </c>
      <c r="H6" s="92" t="s">
        <v>681</v>
      </c>
      <c r="I6" s="92">
        <v>61</v>
      </c>
      <c r="J6" s="92">
        <v>41</v>
      </c>
      <c r="K6" s="92">
        <v>33</v>
      </c>
      <c r="L6" s="92">
        <v>33</v>
      </c>
      <c r="M6" s="92">
        <v>20.63325</v>
      </c>
      <c r="N6" s="114">
        <v>33</v>
      </c>
      <c r="O6" s="58">
        <v>7000</v>
      </c>
      <c r="P6" s="59">
        <f>Table224578910112345678910111213141516171819202122232425262728293031323334[[#This Row],[PEMBULATAN]]*O6</f>
        <v>231000</v>
      </c>
    </row>
    <row r="7" spans="1:16" ht="26.25" customHeight="1" x14ac:dyDescent="0.2">
      <c r="A7" s="104"/>
      <c r="B7" s="105"/>
      <c r="C7" s="92" t="s">
        <v>677</v>
      </c>
      <c r="D7" s="106" t="s">
        <v>59</v>
      </c>
      <c r="E7" s="93">
        <v>44516</v>
      </c>
      <c r="F7" s="92" t="s">
        <v>169</v>
      </c>
      <c r="G7" s="93">
        <v>44518</v>
      </c>
      <c r="H7" s="92" t="s">
        <v>681</v>
      </c>
      <c r="I7" s="92">
        <v>58</v>
      </c>
      <c r="J7" s="92">
        <v>51</v>
      </c>
      <c r="K7" s="92">
        <v>37</v>
      </c>
      <c r="L7" s="92">
        <v>14</v>
      </c>
      <c r="M7" s="92">
        <v>27.361499999999999</v>
      </c>
      <c r="N7" s="114">
        <v>28</v>
      </c>
      <c r="O7" s="58">
        <v>7000</v>
      </c>
      <c r="P7" s="59">
        <f>Table224578910112345678910111213141516171819202122232425262728293031323334[[#This Row],[PEMBULATAN]]*O7</f>
        <v>196000</v>
      </c>
    </row>
    <row r="8" spans="1:16" ht="26.25" customHeight="1" x14ac:dyDescent="0.2">
      <c r="A8" s="104"/>
      <c r="B8" s="104" t="s">
        <v>678</v>
      </c>
      <c r="C8" s="92" t="s">
        <v>679</v>
      </c>
      <c r="D8" s="106" t="s">
        <v>59</v>
      </c>
      <c r="E8" s="93">
        <v>44516</v>
      </c>
      <c r="F8" s="92" t="s">
        <v>169</v>
      </c>
      <c r="G8" s="93">
        <v>44518</v>
      </c>
      <c r="H8" s="92" t="s">
        <v>681</v>
      </c>
      <c r="I8" s="92">
        <v>38</v>
      </c>
      <c r="J8" s="92">
        <v>26</v>
      </c>
      <c r="K8" s="92">
        <v>13</v>
      </c>
      <c r="L8" s="92">
        <v>9</v>
      </c>
      <c r="M8" s="92">
        <v>3.2109999999999999</v>
      </c>
      <c r="N8" s="114">
        <v>9</v>
      </c>
      <c r="O8" s="58">
        <v>7000</v>
      </c>
      <c r="P8" s="59">
        <f>Table224578910112345678910111213141516171819202122232425262728293031323334[[#This Row],[PEMBULATAN]]*O8</f>
        <v>63000</v>
      </c>
    </row>
    <row r="9" spans="1:16" ht="26.25" customHeight="1" x14ac:dyDescent="0.2">
      <c r="A9" s="105"/>
      <c r="B9" s="105"/>
      <c r="C9" s="92" t="s">
        <v>680</v>
      </c>
      <c r="D9" s="106" t="s">
        <v>59</v>
      </c>
      <c r="E9" s="93">
        <v>44516</v>
      </c>
      <c r="F9" s="92" t="s">
        <v>169</v>
      </c>
      <c r="G9" s="93">
        <v>44518</v>
      </c>
      <c r="H9" s="92" t="s">
        <v>681</v>
      </c>
      <c r="I9" s="92">
        <v>41</v>
      </c>
      <c r="J9" s="92">
        <v>29</v>
      </c>
      <c r="K9" s="92">
        <v>12</v>
      </c>
      <c r="L9" s="92">
        <v>10</v>
      </c>
      <c r="M9" s="92">
        <v>3.5670000000000002</v>
      </c>
      <c r="N9" s="114">
        <v>10</v>
      </c>
      <c r="O9" s="58">
        <v>7000</v>
      </c>
      <c r="P9" s="59">
        <f>Table224578910112345678910111213141516171819202122232425262728293031323334[[#This Row],[PEMBULATAN]]*O9</f>
        <v>70000</v>
      </c>
    </row>
    <row r="10" spans="1:16" ht="22.5" customHeight="1" x14ac:dyDescent="0.2">
      <c r="A10" s="145" t="s">
        <v>30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7"/>
      <c r="M10" s="73">
        <f>SUBTOTAL(109,Table224578910112345678910111213141516171819202122232425262728293031323334[KG VOLUME])</f>
        <v>90.360249999999979</v>
      </c>
      <c r="N10" s="62">
        <f>SUM(N3:N9)</f>
        <v>143</v>
      </c>
      <c r="O10" s="148">
        <f>SUM(P3:P9)</f>
        <v>1001000</v>
      </c>
      <c r="P10" s="149"/>
    </row>
    <row r="11" spans="1:16" ht="18" customHeight="1" x14ac:dyDescent="0.2">
      <c r="A11" s="80"/>
      <c r="B11" s="50" t="s">
        <v>42</v>
      </c>
      <c r="C11" s="49"/>
      <c r="D11" s="51" t="s">
        <v>43</v>
      </c>
      <c r="E11" s="80"/>
      <c r="F11" s="80"/>
      <c r="G11" s="80"/>
      <c r="H11" s="80"/>
      <c r="I11" s="80"/>
      <c r="J11" s="80"/>
      <c r="K11" s="80"/>
      <c r="L11" s="80"/>
      <c r="M11" s="81"/>
      <c r="N11" s="82" t="s">
        <v>52</v>
      </c>
      <c r="O11" s="83"/>
      <c r="P11" s="83">
        <v>0</v>
      </c>
    </row>
    <row r="12" spans="1:16" ht="18" customHeight="1" thickBot="1" x14ac:dyDescent="0.25">
      <c r="A12" s="80"/>
      <c r="B12" s="50"/>
      <c r="C12" s="49"/>
      <c r="D12" s="51"/>
      <c r="E12" s="80"/>
      <c r="F12" s="80"/>
      <c r="G12" s="80"/>
      <c r="H12" s="80"/>
      <c r="I12" s="80"/>
      <c r="J12" s="80"/>
      <c r="K12" s="80"/>
      <c r="L12" s="80"/>
      <c r="M12" s="81"/>
      <c r="N12" s="84" t="s">
        <v>53</v>
      </c>
      <c r="O12" s="85"/>
      <c r="P12" s="85">
        <f>O10-P11</f>
        <v>1001000</v>
      </c>
    </row>
    <row r="13" spans="1:16" ht="18" customHeight="1" x14ac:dyDescent="0.2">
      <c r="A13" s="11"/>
      <c r="H13" s="57"/>
      <c r="N13" s="56" t="s">
        <v>31</v>
      </c>
      <c r="P13" s="63">
        <f>P12*1%</f>
        <v>10010</v>
      </c>
    </row>
    <row r="14" spans="1:16" ht="18" customHeight="1" thickBot="1" x14ac:dyDescent="0.25">
      <c r="A14" s="11"/>
      <c r="H14" s="57"/>
      <c r="N14" s="56" t="s">
        <v>54</v>
      </c>
      <c r="P14" s="65">
        <f>P12*2%</f>
        <v>20020</v>
      </c>
    </row>
    <row r="15" spans="1:16" ht="18" customHeight="1" x14ac:dyDescent="0.2">
      <c r="A15" s="11"/>
      <c r="H15" s="57"/>
      <c r="N15" s="60" t="s">
        <v>32</v>
      </c>
      <c r="O15" s="61"/>
      <c r="P15" s="64">
        <f>P12+P13-P14</f>
        <v>990990</v>
      </c>
    </row>
    <row r="17" spans="1:16" x14ac:dyDescent="0.2">
      <c r="A17" s="11"/>
      <c r="H17" s="57"/>
      <c r="P17" s="65"/>
    </row>
    <row r="18" spans="1:16" x14ac:dyDescent="0.2">
      <c r="A18" s="11"/>
      <c r="H18" s="57"/>
      <c r="O18" s="52"/>
      <c r="P18" s="65"/>
    </row>
    <row r="19" spans="1:16" s="3" customFormat="1" x14ac:dyDescent="0.25">
      <c r="A19" s="11"/>
      <c r="B19" s="2"/>
      <c r="C19" s="2"/>
      <c r="E19" s="12"/>
      <c r="H19" s="57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7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7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7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7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7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7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57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57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57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57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57"/>
      <c r="N30" s="15"/>
      <c r="O30" s="15"/>
      <c r="P30" s="15"/>
    </row>
  </sheetData>
  <mergeCells count="2">
    <mergeCell ref="A10:L10"/>
    <mergeCell ref="O10:P10"/>
  </mergeCells>
  <conditionalFormatting sqref="C3:C9">
    <cfRule type="duplicateValues" dxfId="143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3"/>
  <sheetViews>
    <sheetView workbookViewId="0">
      <selection activeCell="L5" sqref="L5"/>
    </sheetView>
  </sheetViews>
  <sheetFormatPr defaultRowHeight="15" x14ac:dyDescent="0.2"/>
  <cols>
    <col min="1" max="1" width="8" style="4" customWidth="1"/>
    <col min="2" max="2" width="19.5703125" style="2" customWidth="1"/>
    <col min="3" max="3" width="16" style="2" customWidth="1"/>
    <col min="4" max="4" width="10.140625" style="3" customWidth="1"/>
    <col min="5" max="5" width="10.7109375" style="12" customWidth="1"/>
    <col min="6" max="6" width="15.28515625" style="3" customWidth="1"/>
    <col min="7" max="7" width="11" style="3" customWidth="1"/>
    <col min="8" max="8" width="15.5703125" style="6" customWidth="1"/>
    <col min="9" max="11" width="4.42578125" style="3" customWidth="1"/>
    <col min="12" max="12" width="5" style="3" customWidth="1"/>
    <col min="13" max="13" width="8.5703125" style="3" customWidth="1"/>
    <col min="14" max="14" width="11.85546875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3">
        <v>403874</v>
      </c>
      <c r="B3" s="103" t="s">
        <v>682</v>
      </c>
      <c r="C3" s="92" t="s">
        <v>683</v>
      </c>
      <c r="D3" s="106" t="s">
        <v>59</v>
      </c>
      <c r="E3" s="93">
        <v>44516</v>
      </c>
      <c r="F3" s="106" t="s">
        <v>169</v>
      </c>
      <c r="G3" s="93">
        <v>44518</v>
      </c>
      <c r="H3" s="92" t="s">
        <v>681</v>
      </c>
      <c r="I3" s="92">
        <v>22</v>
      </c>
      <c r="J3" s="92">
        <v>20</v>
      </c>
      <c r="K3" s="92">
        <v>20</v>
      </c>
      <c r="L3" s="92">
        <v>5</v>
      </c>
      <c r="M3" s="92">
        <v>2.2000000000000002</v>
      </c>
      <c r="N3" s="114">
        <v>5</v>
      </c>
      <c r="O3" s="58">
        <v>7000</v>
      </c>
      <c r="P3" s="59">
        <f>Table22457891011234567891011121314151617181920212223242526272829303132333435[[#This Row],[PEMBULATAN]]*O3</f>
        <v>35000</v>
      </c>
    </row>
    <row r="4" spans="1:16" ht="26.25" customHeight="1" x14ac:dyDescent="0.2">
      <c r="A4" s="104"/>
      <c r="B4" s="104"/>
      <c r="C4" s="92" t="s">
        <v>684</v>
      </c>
      <c r="D4" s="106" t="s">
        <v>59</v>
      </c>
      <c r="E4" s="93">
        <v>44516</v>
      </c>
      <c r="F4" s="106" t="s">
        <v>169</v>
      </c>
      <c r="G4" s="93">
        <v>44518</v>
      </c>
      <c r="H4" s="92" t="s">
        <v>681</v>
      </c>
      <c r="I4" s="92">
        <v>202</v>
      </c>
      <c r="J4" s="92">
        <v>10</v>
      </c>
      <c r="K4" s="92">
        <v>10</v>
      </c>
      <c r="L4" s="92">
        <v>10</v>
      </c>
      <c r="M4" s="92">
        <v>5.05</v>
      </c>
      <c r="N4" s="114">
        <v>10</v>
      </c>
      <c r="O4" s="58">
        <v>7000</v>
      </c>
      <c r="P4" s="59">
        <f>Table22457891011234567891011121314151617181920212223242526272829303132333435[[#This Row],[PEMBULATAN]]*O4</f>
        <v>70000</v>
      </c>
    </row>
    <row r="5" spans="1:16" ht="26.25" customHeight="1" x14ac:dyDescent="0.2">
      <c r="A5" s="104"/>
      <c r="B5" s="104"/>
      <c r="C5" s="92" t="s">
        <v>685</v>
      </c>
      <c r="D5" s="106" t="s">
        <v>59</v>
      </c>
      <c r="E5" s="93">
        <v>44516</v>
      </c>
      <c r="F5" s="106" t="s">
        <v>169</v>
      </c>
      <c r="G5" s="93">
        <v>44518</v>
      </c>
      <c r="H5" s="92" t="s">
        <v>681</v>
      </c>
      <c r="I5" s="92">
        <v>54</v>
      </c>
      <c r="J5" s="92">
        <v>37</v>
      </c>
      <c r="K5" s="92">
        <v>30</v>
      </c>
      <c r="L5" s="92">
        <v>9</v>
      </c>
      <c r="M5" s="92">
        <v>14.984999999999999</v>
      </c>
      <c r="N5" s="109">
        <v>14.984999999999999</v>
      </c>
      <c r="O5" s="58">
        <v>7000</v>
      </c>
      <c r="P5" s="59">
        <f>Table22457891011234567891011121314151617181920212223242526272829303132333435[[#This Row],[PEMBULATAN]]*O5</f>
        <v>104895</v>
      </c>
    </row>
    <row r="6" spans="1:16" ht="26.25" customHeight="1" x14ac:dyDescent="0.2">
      <c r="A6" s="104"/>
      <c r="B6" s="104"/>
      <c r="C6" s="92" t="s">
        <v>686</v>
      </c>
      <c r="D6" s="106" t="s">
        <v>59</v>
      </c>
      <c r="E6" s="93">
        <v>44516</v>
      </c>
      <c r="F6" s="106" t="s">
        <v>169</v>
      </c>
      <c r="G6" s="93">
        <v>44518</v>
      </c>
      <c r="H6" s="92" t="s">
        <v>681</v>
      </c>
      <c r="I6" s="92">
        <v>57</v>
      </c>
      <c r="J6" s="92">
        <v>46</v>
      </c>
      <c r="K6" s="92">
        <v>16</v>
      </c>
      <c r="L6" s="92">
        <v>9</v>
      </c>
      <c r="M6" s="92">
        <v>10.488</v>
      </c>
      <c r="N6" s="114">
        <v>11</v>
      </c>
      <c r="O6" s="58">
        <v>7000</v>
      </c>
      <c r="P6" s="59">
        <f>Table22457891011234567891011121314151617181920212223242526272829303132333435[[#This Row],[PEMBULATAN]]*O6</f>
        <v>77000</v>
      </c>
    </row>
    <row r="7" spans="1:16" ht="26.25" customHeight="1" x14ac:dyDescent="0.2">
      <c r="A7" s="104"/>
      <c r="B7" s="104"/>
      <c r="C7" s="92" t="s">
        <v>687</v>
      </c>
      <c r="D7" s="106" t="s">
        <v>59</v>
      </c>
      <c r="E7" s="93">
        <v>44516</v>
      </c>
      <c r="F7" s="106" t="s">
        <v>169</v>
      </c>
      <c r="G7" s="93">
        <v>44518</v>
      </c>
      <c r="H7" s="92" t="s">
        <v>681</v>
      </c>
      <c r="I7" s="92">
        <v>74</v>
      </c>
      <c r="J7" s="92">
        <v>74</v>
      </c>
      <c r="K7" s="92">
        <v>10</v>
      </c>
      <c r="L7" s="92">
        <v>12</v>
      </c>
      <c r="M7" s="92">
        <v>13.69</v>
      </c>
      <c r="N7" s="109">
        <v>13.69</v>
      </c>
      <c r="O7" s="58">
        <v>7000</v>
      </c>
      <c r="P7" s="59">
        <f>Table22457891011234567891011121314151617181920212223242526272829303132333435[[#This Row],[PEMBULATAN]]*O7</f>
        <v>95830</v>
      </c>
    </row>
    <row r="8" spans="1:16" ht="26.25" customHeight="1" x14ac:dyDescent="0.2">
      <c r="A8" s="104"/>
      <c r="B8" s="104"/>
      <c r="C8" s="92" t="s">
        <v>688</v>
      </c>
      <c r="D8" s="106" t="s">
        <v>59</v>
      </c>
      <c r="E8" s="93">
        <v>44516</v>
      </c>
      <c r="F8" s="106" t="s">
        <v>169</v>
      </c>
      <c r="G8" s="93">
        <v>44518</v>
      </c>
      <c r="H8" s="92" t="s">
        <v>681</v>
      </c>
      <c r="I8" s="92">
        <v>37</v>
      </c>
      <c r="J8" s="92">
        <v>37</v>
      </c>
      <c r="K8" s="92">
        <v>24</v>
      </c>
      <c r="L8" s="92">
        <v>8</v>
      </c>
      <c r="M8" s="92">
        <v>8.2140000000000004</v>
      </c>
      <c r="N8" s="109">
        <v>8.2140000000000004</v>
      </c>
      <c r="O8" s="58">
        <v>7000</v>
      </c>
      <c r="P8" s="59">
        <f>Table22457891011234567891011121314151617181920212223242526272829303132333435[[#This Row],[PEMBULATAN]]*O8</f>
        <v>57498</v>
      </c>
    </row>
    <row r="9" spans="1:16" ht="26.25" customHeight="1" x14ac:dyDescent="0.2">
      <c r="A9" s="104"/>
      <c r="B9" s="104"/>
      <c r="C9" s="92" t="s">
        <v>689</v>
      </c>
      <c r="D9" s="106" t="s">
        <v>59</v>
      </c>
      <c r="E9" s="93">
        <v>44516</v>
      </c>
      <c r="F9" s="106" t="s">
        <v>169</v>
      </c>
      <c r="G9" s="93">
        <v>44518</v>
      </c>
      <c r="H9" s="92" t="s">
        <v>681</v>
      </c>
      <c r="I9" s="92">
        <v>62</v>
      </c>
      <c r="J9" s="92">
        <v>70</v>
      </c>
      <c r="K9" s="92">
        <v>37</v>
      </c>
      <c r="L9" s="92">
        <v>9</v>
      </c>
      <c r="M9" s="92">
        <v>40.145000000000003</v>
      </c>
      <c r="N9" s="109">
        <v>40.145000000000003</v>
      </c>
      <c r="O9" s="58">
        <v>7000</v>
      </c>
      <c r="P9" s="59">
        <f>Table22457891011234567891011121314151617181920212223242526272829303132333435[[#This Row],[PEMBULATAN]]*O9</f>
        <v>281015</v>
      </c>
    </row>
    <row r="10" spans="1:16" ht="26.25" customHeight="1" x14ac:dyDescent="0.2">
      <c r="A10" s="104"/>
      <c r="B10" s="104"/>
      <c r="C10" s="92" t="s">
        <v>690</v>
      </c>
      <c r="D10" s="106" t="s">
        <v>59</v>
      </c>
      <c r="E10" s="93">
        <v>44516</v>
      </c>
      <c r="F10" s="106" t="s">
        <v>169</v>
      </c>
      <c r="G10" s="93">
        <v>44518</v>
      </c>
      <c r="H10" s="92" t="s">
        <v>681</v>
      </c>
      <c r="I10" s="92">
        <v>79</v>
      </c>
      <c r="J10" s="92">
        <v>35</v>
      </c>
      <c r="K10" s="92">
        <v>30</v>
      </c>
      <c r="L10" s="92">
        <v>10</v>
      </c>
      <c r="M10" s="92">
        <v>20.737500000000001</v>
      </c>
      <c r="N10" s="109">
        <v>20.737500000000001</v>
      </c>
      <c r="O10" s="58">
        <v>7000</v>
      </c>
      <c r="P10" s="59">
        <f>Table22457891011234567891011121314151617181920212223242526272829303132333435[[#This Row],[PEMBULATAN]]*O10</f>
        <v>145162.5</v>
      </c>
    </row>
    <row r="11" spans="1:16" ht="26.25" customHeight="1" x14ac:dyDescent="0.2">
      <c r="A11" s="104"/>
      <c r="B11" s="104"/>
      <c r="C11" s="92" t="s">
        <v>691</v>
      </c>
      <c r="D11" s="106" t="s">
        <v>59</v>
      </c>
      <c r="E11" s="93">
        <v>44516</v>
      </c>
      <c r="F11" s="106" t="s">
        <v>169</v>
      </c>
      <c r="G11" s="93">
        <v>44518</v>
      </c>
      <c r="H11" s="92" t="s">
        <v>681</v>
      </c>
      <c r="I11" s="92">
        <v>55</v>
      </c>
      <c r="J11" s="92">
        <v>50</v>
      </c>
      <c r="K11" s="92">
        <v>50</v>
      </c>
      <c r="L11" s="92">
        <v>21</v>
      </c>
      <c r="M11" s="92">
        <v>34.375</v>
      </c>
      <c r="N11" s="109">
        <v>35</v>
      </c>
      <c r="O11" s="58">
        <v>7000</v>
      </c>
      <c r="P11" s="59">
        <f>Table22457891011234567891011121314151617181920212223242526272829303132333435[[#This Row],[PEMBULATAN]]*O11</f>
        <v>245000</v>
      </c>
    </row>
    <row r="12" spans="1:16" ht="26.25" customHeight="1" x14ac:dyDescent="0.2">
      <c r="A12" s="104"/>
      <c r="B12" s="104"/>
      <c r="C12" s="92" t="s">
        <v>692</v>
      </c>
      <c r="D12" s="106" t="s">
        <v>59</v>
      </c>
      <c r="E12" s="93">
        <v>44516</v>
      </c>
      <c r="F12" s="106" t="s">
        <v>169</v>
      </c>
      <c r="G12" s="93">
        <v>44518</v>
      </c>
      <c r="H12" s="92" t="s">
        <v>681</v>
      </c>
      <c r="I12" s="92">
        <v>105</v>
      </c>
      <c r="J12" s="92">
        <v>30</v>
      </c>
      <c r="K12" s="92">
        <v>37</v>
      </c>
      <c r="L12" s="92">
        <v>23</v>
      </c>
      <c r="M12" s="92">
        <v>29.137499999999999</v>
      </c>
      <c r="N12" s="109">
        <v>29.137499999999999</v>
      </c>
      <c r="O12" s="58">
        <v>7000</v>
      </c>
      <c r="P12" s="59">
        <f>Table22457891011234567891011121314151617181920212223242526272829303132333435[[#This Row],[PEMBULATAN]]*O12</f>
        <v>203962.5</v>
      </c>
    </row>
    <row r="13" spans="1:16" ht="26.25" customHeight="1" x14ac:dyDescent="0.2">
      <c r="A13" s="104"/>
      <c r="B13" s="104"/>
      <c r="C13" s="92" t="s">
        <v>693</v>
      </c>
      <c r="D13" s="106" t="s">
        <v>59</v>
      </c>
      <c r="E13" s="93">
        <v>44516</v>
      </c>
      <c r="F13" s="106" t="s">
        <v>169</v>
      </c>
      <c r="G13" s="93">
        <v>44518</v>
      </c>
      <c r="H13" s="92" t="s">
        <v>681</v>
      </c>
      <c r="I13" s="92">
        <v>110</v>
      </c>
      <c r="J13" s="92">
        <v>60</v>
      </c>
      <c r="K13" s="92">
        <v>10</v>
      </c>
      <c r="L13" s="92">
        <v>5</v>
      </c>
      <c r="M13" s="92">
        <v>16.5</v>
      </c>
      <c r="N13" s="109">
        <v>16.5</v>
      </c>
      <c r="O13" s="58">
        <v>7000</v>
      </c>
      <c r="P13" s="59">
        <f>Table22457891011234567891011121314151617181920212223242526272829303132333435[[#This Row],[PEMBULATAN]]*O13</f>
        <v>115500</v>
      </c>
    </row>
    <row r="14" spans="1:16" ht="26.25" customHeight="1" x14ac:dyDescent="0.2">
      <c r="A14" s="104"/>
      <c r="B14" s="104"/>
      <c r="C14" s="92" t="s">
        <v>694</v>
      </c>
      <c r="D14" s="106" t="s">
        <v>59</v>
      </c>
      <c r="E14" s="93">
        <v>44516</v>
      </c>
      <c r="F14" s="106" t="s">
        <v>169</v>
      </c>
      <c r="G14" s="93">
        <v>44518</v>
      </c>
      <c r="H14" s="92" t="s">
        <v>681</v>
      </c>
      <c r="I14" s="92">
        <v>47</v>
      </c>
      <c r="J14" s="92">
        <v>36</v>
      </c>
      <c r="K14" s="92">
        <v>28</v>
      </c>
      <c r="L14" s="92">
        <v>9</v>
      </c>
      <c r="M14" s="92">
        <v>11.843999999999999</v>
      </c>
      <c r="N14" s="109">
        <v>11.843999999999999</v>
      </c>
      <c r="O14" s="58">
        <v>7000</v>
      </c>
      <c r="P14" s="59">
        <f>Table22457891011234567891011121314151617181920212223242526272829303132333435[[#This Row],[PEMBULATAN]]*O14</f>
        <v>82908</v>
      </c>
    </row>
    <row r="15" spans="1:16" ht="26.25" customHeight="1" x14ac:dyDescent="0.2">
      <c r="A15" s="104"/>
      <c r="B15" s="104"/>
      <c r="C15" s="92" t="s">
        <v>695</v>
      </c>
      <c r="D15" s="106" t="s">
        <v>59</v>
      </c>
      <c r="E15" s="93">
        <v>44516</v>
      </c>
      <c r="F15" s="106" t="s">
        <v>169</v>
      </c>
      <c r="G15" s="93">
        <v>44518</v>
      </c>
      <c r="H15" s="92" t="s">
        <v>681</v>
      </c>
      <c r="I15" s="92">
        <v>52</v>
      </c>
      <c r="J15" s="92">
        <v>40</v>
      </c>
      <c r="K15" s="92">
        <v>24</v>
      </c>
      <c r="L15" s="92">
        <v>6</v>
      </c>
      <c r="M15" s="92">
        <v>12.48</v>
      </c>
      <c r="N15" s="114">
        <v>13</v>
      </c>
      <c r="O15" s="58">
        <v>7000</v>
      </c>
      <c r="P15" s="59">
        <f>Table22457891011234567891011121314151617181920212223242526272829303132333435[[#This Row],[PEMBULATAN]]*O15</f>
        <v>91000</v>
      </c>
    </row>
    <row r="16" spans="1:16" ht="26.25" customHeight="1" x14ac:dyDescent="0.2">
      <c r="A16" s="104"/>
      <c r="B16" s="104"/>
      <c r="C16" s="92" t="s">
        <v>696</v>
      </c>
      <c r="D16" s="106" t="s">
        <v>59</v>
      </c>
      <c r="E16" s="93">
        <v>44516</v>
      </c>
      <c r="F16" s="106" t="s">
        <v>169</v>
      </c>
      <c r="G16" s="93">
        <v>44518</v>
      </c>
      <c r="H16" s="92" t="s">
        <v>681</v>
      </c>
      <c r="I16" s="92">
        <v>44</v>
      </c>
      <c r="J16" s="92">
        <v>44</v>
      </c>
      <c r="K16" s="92">
        <v>20</v>
      </c>
      <c r="L16" s="92">
        <v>9</v>
      </c>
      <c r="M16" s="92">
        <v>9.68</v>
      </c>
      <c r="N16" s="109">
        <v>9.68</v>
      </c>
      <c r="O16" s="58">
        <v>7000</v>
      </c>
      <c r="P16" s="59">
        <f>Table22457891011234567891011121314151617181920212223242526272829303132333435[[#This Row],[PEMBULATAN]]*O16</f>
        <v>67760</v>
      </c>
    </row>
    <row r="17" spans="1:16" ht="26.25" customHeight="1" x14ac:dyDescent="0.2">
      <c r="A17" s="104"/>
      <c r="B17" s="104"/>
      <c r="C17" s="92" t="s">
        <v>697</v>
      </c>
      <c r="D17" s="106" t="s">
        <v>59</v>
      </c>
      <c r="E17" s="93">
        <v>44516</v>
      </c>
      <c r="F17" s="106" t="s">
        <v>169</v>
      </c>
      <c r="G17" s="93">
        <v>44518</v>
      </c>
      <c r="H17" s="92" t="s">
        <v>681</v>
      </c>
      <c r="I17" s="92">
        <v>42</v>
      </c>
      <c r="J17" s="92">
        <v>34</v>
      </c>
      <c r="K17" s="92">
        <v>27</v>
      </c>
      <c r="L17" s="92">
        <v>8</v>
      </c>
      <c r="M17" s="92">
        <v>9.6389999999999993</v>
      </c>
      <c r="N17" s="109">
        <v>9.6389999999999993</v>
      </c>
      <c r="O17" s="58">
        <v>7000</v>
      </c>
      <c r="P17" s="59">
        <f>Table22457891011234567891011121314151617181920212223242526272829303132333435[[#This Row],[PEMBULATAN]]*O17</f>
        <v>67473</v>
      </c>
    </row>
    <row r="18" spans="1:16" ht="26.25" customHeight="1" x14ac:dyDescent="0.2">
      <c r="A18" s="104"/>
      <c r="B18" s="104"/>
      <c r="C18" s="92" t="s">
        <v>698</v>
      </c>
      <c r="D18" s="106" t="s">
        <v>59</v>
      </c>
      <c r="E18" s="93">
        <v>44516</v>
      </c>
      <c r="F18" s="106" t="s">
        <v>169</v>
      </c>
      <c r="G18" s="93">
        <v>44518</v>
      </c>
      <c r="H18" s="92" t="s">
        <v>681</v>
      </c>
      <c r="I18" s="92">
        <v>52</v>
      </c>
      <c r="J18" s="92">
        <v>40</v>
      </c>
      <c r="K18" s="92">
        <v>27</v>
      </c>
      <c r="L18" s="92">
        <v>9</v>
      </c>
      <c r="M18" s="92">
        <v>14.04</v>
      </c>
      <c r="N18" s="109">
        <v>14.04</v>
      </c>
      <c r="O18" s="58">
        <v>7000</v>
      </c>
      <c r="P18" s="59">
        <f>Table22457891011234567891011121314151617181920212223242526272829303132333435[[#This Row],[PEMBULATAN]]*O18</f>
        <v>98280</v>
      </c>
    </row>
    <row r="19" spans="1:16" ht="26.25" customHeight="1" x14ac:dyDescent="0.2">
      <c r="A19" s="104"/>
      <c r="B19" s="104"/>
      <c r="C19" s="92" t="s">
        <v>699</v>
      </c>
      <c r="D19" s="106" t="s">
        <v>59</v>
      </c>
      <c r="E19" s="93">
        <v>44516</v>
      </c>
      <c r="F19" s="106" t="s">
        <v>169</v>
      </c>
      <c r="G19" s="93">
        <v>44518</v>
      </c>
      <c r="H19" s="92" t="s">
        <v>681</v>
      </c>
      <c r="I19" s="92">
        <v>36</v>
      </c>
      <c r="J19" s="92">
        <v>36</v>
      </c>
      <c r="K19" s="92">
        <v>25</v>
      </c>
      <c r="L19" s="92">
        <v>10</v>
      </c>
      <c r="M19" s="92">
        <v>8.1</v>
      </c>
      <c r="N19" s="109">
        <v>10</v>
      </c>
      <c r="O19" s="58">
        <v>7000</v>
      </c>
      <c r="P19" s="59">
        <f>Table22457891011234567891011121314151617181920212223242526272829303132333435[[#This Row],[PEMBULATAN]]*O19</f>
        <v>70000</v>
      </c>
    </row>
    <row r="20" spans="1:16" ht="26.25" customHeight="1" x14ac:dyDescent="0.2">
      <c r="A20" s="104"/>
      <c r="B20" s="104"/>
      <c r="C20" s="92" t="s">
        <v>700</v>
      </c>
      <c r="D20" s="106" t="s">
        <v>59</v>
      </c>
      <c r="E20" s="93">
        <v>44516</v>
      </c>
      <c r="F20" s="106" t="s">
        <v>169</v>
      </c>
      <c r="G20" s="93">
        <v>44518</v>
      </c>
      <c r="H20" s="92" t="s">
        <v>681</v>
      </c>
      <c r="I20" s="92">
        <v>63</v>
      </c>
      <c r="J20" s="92">
        <v>37</v>
      </c>
      <c r="K20" s="92">
        <v>47</v>
      </c>
      <c r="L20" s="92">
        <v>7</v>
      </c>
      <c r="M20" s="92">
        <v>27.389250000000001</v>
      </c>
      <c r="N20" s="109">
        <v>28</v>
      </c>
      <c r="O20" s="58">
        <v>7000</v>
      </c>
      <c r="P20" s="59">
        <f>Table22457891011234567891011121314151617181920212223242526272829303132333435[[#This Row],[PEMBULATAN]]*O20</f>
        <v>196000</v>
      </c>
    </row>
    <row r="21" spans="1:16" ht="26.25" customHeight="1" x14ac:dyDescent="0.2">
      <c r="A21" s="104"/>
      <c r="B21" s="104"/>
      <c r="C21" s="92" t="s">
        <v>701</v>
      </c>
      <c r="D21" s="106" t="s">
        <v>59</v>
      </c>
      <c r="E21" s="93">
        <v>44516</v>
      </c>
      <c r="F21" s="106" t="s">
        <v>169</v>
      </c>
      <c r="G21" s="93">
        <v>44518</v>
      </c>
      <c r="H21" s="92" t="s">
        <v>681</v>
      </c>
      <c r="I21" s="92">
        <v>40</v>
      </c>
      <c r="J21" s="92">
        <v>30</v>
      </c>
      <c r="K21" s="92">
        <v>27</v>
      </c>
      <c r="L21" s="92">
        <v>10</v>
      </c>
      <c r="M21" s="92">
        <v>8.1</v>
      </c>
      <c r="N21" s="109">
        <v>10</v>
      </c>
      <c r="O21" s="58">
        <v>7000</v>
      </c>
      <c r="P21" s="59">
        <f>Table22457891011234567891011121314151617181920212223242526272829303132333435[[#This Row],[PEMBULATAN]]*O21</f>
        <v>70000</v>
      </c>
    </row>
    <row r="22" spans="1:16" ht="26.25" customHeight="1" x14ac:dyDescent="0.2">
      <c r="A22" s="104"/>
      <c r="B22" s="104"/>
      <c r="C22" s="92" t="s">
        <v>702</v>
      </c>
      <c r="D22" s="106" t="s">
        <v>59</v>
      </c>
      <c r="E22" s="93">
        <v>44516</v>
      </c>
      <c r="F22" s="106" t="s">
        <v>169</v>
      </c>
      <c r="G22" s="93">
        <v>44518</v>
      </c>
      <c r="H22" s="92" t="s">
        <v>681</v>
      </c>
      <c r="I22" s="92">
        <v>87</v>
      </c>
      <c r="J22" s="92">
        <v>54</v>
      </c>
      <c r="K22" s="92">
        <v>18</v>
      </c>
      <c r="L22" s="92">
        <v>8</v>
      </c>
      <c r="M22" s="92">
        <v>21.140999999999998</v>
      </c>
      <c r="N22" s="109">
        <v>21.140999999999998</v>
      </c>
      <c r="O22" s="58">
        <v>7000</v>
      </c>
      <c r="P22" s="59">
        <f>Table22457891011234567891011121314151617181920212223242526272829303132333435[[#This Row],[PEMBULATAN]]*O22</f>
        <v>147987</v>
      </c>
    </row>
    <row r="23" spans="1:16" ht="26.25" customHeight="1" x14ac:dyDescent="0.2">
      <c r="A23" s="104"/>
      <c r="B23" s="104"/>
      <c r="C23" s="92" t="s">
        <v>703</v>
      </c>
      <c r="D23" s="106" t="s">
        <v>59</v>
      </c>
      <c r="E23" s="93">
        <v>44516</v>
      </c>
      <c r="F23" s="106" t="s">
        <v>169</v>
      </c>
      <c r="G23" s="93">
        <v>44518</v>
      </c>
      <c r="H23" s="92" t="s">
        <v>681</v>
      </c>
      <c r="I23" s="92">
        <v>47</v>
      </c>
      <c r="J23" s="92">
        <v>36</v>
      </c>
      <c r="K23" s="92">
        <v>31</v>
      </c>
      <c r="L23" s="92">
        <v>15</v>
      </c>
      <c r="M23" s="92">
        <v>13.113</v>
      </c>
      <c r="N23" s="109">
        <v>15</v>
      </c>
      <c r="O23" s="58">
        <v>7000</v>
      </c>
      <c r="P23" s="59">
        <f>Table22457891011234567891011121314151617181920212223242526272829303132333435[[#This Row],[PEMBULATAN]]*O23</f>
        <v>105000</v>
      </c>
    </row>
    <row r="24" spans="1:16" ht="26.25" customHeight="1" x14ac:dyDescent="0.2">
      <c r="A24" s="104"/>
      <c r="B24" s="104"/>
      <c r="C24" s="92" t="s">
        <v>704</v>
      </c>
      <c r="D24" s="106" t="s">
        <v>59</v>
      </c>
      <c r="E24" s="93">
        <v>44516</v>
      </c>
      <c r="F24" s="106" t="s">
        <v>169</v>
      </c>
      <c r="G24" s="93">
        <v>44518</v>
      </c>
      <c r="H24" s="92" t="s">
        <v>681</v>
      </c>
      <c r="I24" s="92">
        <v>62</v>
      </c>
      <c r="J24" s="92">
        <v>48</v>
      </c>
      <c r="K24" s="92">
        <v>20</v>
      </c>
      <c r="L24" s="92">
        <v>8</v>
      </c>
      <c r="M24" s="92">
        <v>14.88</v>
      </c>
      <c r="N24" s="109">
        <v>14.88</v>
      </c>
      <c r="O24" s="58">
        <v>7000</v>
      </c>
      <c r="P24" s="59">
        <f>Table22457891011234567891011121314151617181920212223242526272829303132333435[[#This Row],[PEMBULATAN]]*O24</f>
        <v>104160</v>
      </c>
    </row>
    <row r="25" spans="1:16" ht="26.25" customHeight="1" x14ac:dyDescent="0.2">
      <c r="A25" s="104"/>
      <c r="B25" s="104"/>
      <c r="C25" s="92" t="s">
        <v>705</v>
      </c>
      <c r="D25" s="106" t="s">
        <v>59</v>
      </c>
      <c r="E25" s="93">
        <v>44516</v>
      </c>
      <c r="F25" s="106" t="s">
        <v>169</v>
      </c>
      <c r="G25" s="93">
        <v>44518</v>
      </c>
      <c r="H25" s="92" t="s">
        <v>681</v>
      </c>
      <c r="I25" s="92">
        <v>45</v>
      </c>
      <c r="J25" s="92">
        <v>38</v>
      </c>
      <c r="K25" s="92">
        <v>30</v>
      </c>
      <c r="L25" s="92">
        <v>9</v>
      </c>
      <c r="M25" s="92">
        <v>12.824999999999999</v>
      </c>
      <c r="N25" s="109">
        <v>12.824999999999999</v>
      </c>
      <c r="O25" s="58">
        <v>7000</v>
      </c>
      <c r="P25" s="59">
        <f>Table22457891011234567891011121314151617181920212223242526272829303132333435[[#This Row],[PEMBULATAN]]*O25</f>
        <v>89775</v>
      </c>
    </row>
    <row r="26" spans="1:16" ht="26.25" customHeight="1" x14ac:dyDescent="0.2">
      <c r="A26" s="104"/>
      <c r="B26" s="104"/>
      <c r="C26" s="92" t="s">
        <v>706</v>
      </c>
      <c r="D26" s="106" t="s">
        <v>59</v>
      </c>
      <c r="E26" s="93">
        <v>44516</v>
      </c>
      <c r="F26" s="106" t="s">
        <v>169</v>
      </c>
      <c r="G26" s="93">
        <v>44518</v>
      </c>
      <c r="H26" s="92" t="s">
        <v>681</v>
      </c>
      <c r="I26" s="92">
        <v>82</v>
      </c>
      <c r="J26" s="92">
        <v>40</v>
      </c>
      <c r="K26" s="92">
        <v>22</v>
      </c>
      <c r="L26" s="92">
        <v>15</v>
      </c>
      <c r="M26" s="92">
        <v>18.04</v>
      </c>
      <c r="N26" s="109">
        <v>18.04</v>
      </c>
      <c r="O26" s="58">
        <v>7000</v>
      </c>
      <c r="P26" s="59">
        <f>Table22457891011234567891011121314151617181920212223242526272829303132333435[[#This Row],[PEMBULATAN]]*O26</f>
        <v>126280</v>
      </c>
    </row>
    <row r="27" spans="1:16" ht="26.25" customHeight="1" x14ac:dyDescent="0.2">
      <c r="A27" s="104"/>
      <c r="B27" s="104"/>
      <c r="C27" s="92" t="s">
        <v>707</v>
      </c>
      <c r="D27" s="106" t="s">
        <v>59</v>
      </c>
      <c r="E27" s="93">
        <v>44516</v>
      </c>
      <c r="F27" s="106" t="s">
        <v>169</v>
      </c>
      <c r="G27" s="93">
        <v>44518</v>
      </c>
      <c r="H27" s="92" t="s">
        <v>681</v>
      </c>
      <c r="I27" s="92">
        <v>62</v>
      </c>
      <c r="J27" s="92">
        <v>45</v>
      </c>
      <c r="K27" s="92">
        <v>21</v>
      </c>
      <c r="L27" s="92">
        <v>7</v>
      </c>
      <c r="M27" s="92">
        <v>14.647500000000001</v>
      </c>
      <c r="N27" s="109">
        <v>14.647500000000001</v>
      </c>
      <c r="O27" s="58">
        <v>7000</v>
      </c>
      <c r="P27" s="59">
        <f>Table22457891011234567891011121314151617181920212223242526272829303132333435[[#This Row],[PEMBULATAN]]*O27</f>
        <v>102532.5</v>
      </c>
    </row>
    <row r="28" spans="1:16" ht="26.25" customHeight="1" x14ac:dyDescent="0.2">
      <c r="A28" s="104"/>
      <c r="B28" s="104"/>
      <c r="C28" s="92" t="s">
        <v>708</v>
      </c>
      <c r="D28" s="106" t="s">
        <v>59</v>
      </c>
      <c r="E28" s="93">
        <v>44516</v>
      </c>
      <c r="F28" s="106" t="s">
        <v>169</v>
      </c>
      <c r="G28" s="93">
        <v>44518</v>
      </c>
      <c r="H28" s="92" t="s">
        <v>681</v>
      </c>
      <c r="I28" s="92">
        <v>53</v>
      </c>
      <c r="J28" s="92">
        <v>28</v>
      </c>
      <c r="K28" s="92">
        <v>36</v>
      </c>
      <c r="L28" s="92">
        <v>15</v>
      </c>
      <c r="M28" s="92">
        <v>13.356</v>
      </c>
      <c r="N28" s="109">
        <v>16</v>
      </c>
      <c r="O28" s="58">
        <v>7000</v>
      </c>
      <c r="P28" s="59">
        <f>Table22457891011234567891011121314151617181920212223242526272829303132333435[[#This Row],[PEMBULATAN]]*O28</f>
        <v>112000</v>
      </c>
    </row>
    <row r="29" spans="1:16" ht="26.25" customHeight="1" x14ac:dyDescent="0.2">
      <c r="A29" s="104"/>
      <c r="B29" s="104"/>
      <c r="C29" s="92" t="s">
        <v>709</v>
      </c>
      <c r="D29" s="106" t="s">
        <v>59</v>
      </c>
      <c r="E29" s="93">
        <v>44516</v>
      </c>
      <c r="F29" s="106" t="s">
        <v>169</v>
      </c>
      <c r="G29" s="93">
        <v>44518</v>
      </c>
      <c r="H29" s="92" t="s">
        <v>681</v>
      </c>
      <c r="I29" s="92">
        <v>220</v>
      </c>
      <c r="J29" s="92">
        <v>18</v>
      </c>
      <c r="K29" s="92">
        <v>18</v>
      </c>
      <c r="L29" s="92">
        <v>10</v>
      </c>
      <c r="M29" s="92">
        <v>17.82</v>
      </c>
      <c r="N29" s="109">
        <v>17.82</v>
      </c>
      <c r="O29" s="58">
        <v>7000</v>
      </c>
      <c r="P29" s="59">
        <f>Table22457891011234567891011121314151617181920212223242526272829303132333435[[#This Row],[PEMBULATAN]]*O29</f>
        <v>124740</v>
      </c>
    </row>
    <row r="30" spans="1:16" ht="26.25" customHeight="1" x14ac:dyDescent="0.2">
      <c r="A30" s="104"/>
      <c r="B30" s="105"/>
      <c r="C30" s="92" t="s">
        <v>710</v>
      </c>
      <c r="D30" s="106" t="s">
        <v>59</v>
      </c>
      <c r="E30" s="93">
        <v>44516</v>
      </c>
      <c r="F30" s="106" t="s">
        <v>169</v>
      </c>
      <c r="G30" s="93">
        <v>44518</v>
      </c>
      <c r="H30" s="92" t="s">
        <v>681</v>
      </c>
      <c r="I30" s="92">
        <v>130</v>
      </c>
      <c r="J30" s="92">
        <v>78</v>
      </c>
      <c r="K30" s="92">
        <v>21</v>
      </c>
      <c r="L30" s="92">
        <v>20</v>
      </c>
      <c r="M30" s="92">
        <v>53.234999999999999</v>
      </c>
      <c r="N30" s="109">
        <v>53.234999999999999</v>
      </c>
      <c r="O30" s="58">
        <v>7000</v>
      </c>
      <c r="P30" s="59">
        <f>Table22457891011234567891011121314151617181920212223242526272829303132333435[[#This Row],[PEMBULATAN]]*O30</f>
        <v>372645</v>
      </c>
    </row>
    <row r="31" spans="1:16" ht="26.25" customHeight="1" x14ac:dyDescent="0.2">
      <c r="A31" s="104"/>
      <c r="B31" s="104" t="s">
        <v>711</v>
      </c>
      <c r="C31" s="92" t="s">
        <v>712</v>
      </c>
      <c r="D31" s="106" t="s">
        <v>59</v>
      </c>
      <c r="E31" s="93">
        <v>44516</v>
      </c>
      <c r="F31" s="106" t="s">
        <v>169</v>
      </c>
      <c r="G31" s="93">
        <v>44518</v>
      </c>
      <c r="H31" s="92" t="s">
        <v>681</v>
      </c>
      <c r="I31" s="92">
        <v>99</v>
      </c>
      <c r="J31" s="92">
        <v>37</v>
      </c>
      <c r="K31" s="92">
        <v>37</v>
      </c>
      <c r="L31" s="92">
        <v>21</v>
      </c>
      <c r="M31" s="92">
        <v>33.882750000000001</v>
      </c>
      <c r="N31" s="109">
        <v>33.882750000000001</v>
      </c>
      <c r="O31" s="58">
        <v>7000</v>
      </c>
      <c r="P31" s="59">
        <f>Table22457891011234567891011121314151617181920212223242526272829303132333435[[#This Row],[PEMBULATAN]]*O31</f>
        <v>237179.25</v>
      </c>
    </row>
    <row r="32" spans="1:16" ht="26.25" customHeight="1" x14ac:dyDescent="0.2">
      <c r="A32" s="105"/>
      <c r="B32" s="105"/>
      <c r="C32" s="92" t="s">
        <v>713</v>
      </c>
      <c r="D32" s="106" t="s">
        <v>59</v>
      </c>
      <c r="E32" s="93">
        <v>44516</v>
      </c>
      <c r="F32" s="92" t="s">
        <v>169</v>
      </c>
      <c r="G32" s="93">
        <v>44518</v>
      </c>
      <c r="H32" s="92" t="s">
        <v>681</v>
      </c>
      <c r="I32" s="92">
        <v>55</v>
      </c>
      <c r="J32" s="92">
        <v>40</v>
      </c>
      <c r="K32" s="92">
        <v>30</v>
      </c>
      <c r="L32" s="92">
        <v>13</v>
      </c>
      <c r="M32" s="92">
        <v>16.5</v>
      </c>
      <c r="N32" s="109">
        <v>16.5</v>
      </c>
      <c r="O32" s="58">
        <v>7000</v>
      </c>
      <c r="P32" s="59">
        <f>Table22457891011234567891011121314151617181920212223242526272829303132333435[[#This Row],[PEMBULATAN]]*O32</f>
        <v>115500</v>
      </c>
    </row>
    <row r="33" spans="1:16" ht="22.5" customHeight="1" x14ac:dyDescent="0.2">
      <c r="A33" s="145" t="s">
        <v>30</v>
      </c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7"/>
      <c r="M33" s="73">
        <f>SUBTOTAL(109,Table22457891011234567891011121314151617181920212223242526272829303132333435[KG VOLUME])</f>
        <v>526.23450000000003</v>
      </c>
      <c r="N33" s="62">
        <f>SUM(N3:N32)</f>
        <v>544.58325000000002</v>
      </c>
      <c r="O33" s="148">
        <f>SUM(P3:P32)</f>
        <v>3812082.75</v>
      </c>
      <c r="P33" s="149"/>
    </row>
    <row r="34" spans="1:16" ht="18" customHeight="1" x14ac:dyDescent="0.2">
      <c r="A34" s="80"/>
      <c r="B34" s="50" t="s">
        <v>42</v>
      </c>
      <c r="C34" s="49"/>
      <c r="D34" s="51" t="s">
        <v>43</v>
      </c>
      <c r="E34" s="80"/>
      <c r="F34" s="80"/>
      <c r="G34" s="80"/>
      <c r="H34" s="80"/>
      <c r="I34" s="80"/>
      <c r="J34" s="80"/>
      <c r="K34" s="80"/>
      <c r="L34" s="80"/>
      <c r="M34" s="81"/>
      <c r="N34" s="82" t="s">
        <v>52</v>
      </c>
      <c r="O34" s="83"/>
      <c r="P34" s="83">
        <v>0</v>
      </c>
    </row>
    <row r="35" spans="1:16" ht="18" customHeight="1" thickBot="1" x14ac:dyDescent="0.25">
      <c r="A35" s="80"/>
      <c r="B35" s="50"/>
      <c r="C35" s="49"/>
      <c r="D35" s="51"/>
      <c r="E35" s="80"/>
      <c r="F35" s="80"/>
      <c r="G35" s="80"/>
      <c r="H35" s="80"/>
      <c r="I35" s="80"/>
      <c r="J35" s="80"/>
      <c r="K35" s="80"/>
      <c r="L35" s="80"/>
      <c r="M35" s="81"/>
      <c r="N35" s="84" t="s">
        <v>53</v>
      </c>
      <c r="O35" s="85"/>
      <c r="P35" s="85">
        <f>O33-P34</f>
        <v>3812082.75</v>
      </c>
    </row>
    <row r="36" spans="1:16" ht="18" customHeight="1" x14ac:dyDescent="0.2">
      <c r="A36" s="11"/>
      <c r="H36" s="57"/>
      <c r="N36" s="56" t="s">
        <v>31</v>
      </c>
      <c r="P36" s="63">
        <f>P35*1%</f>
        <v>38120.827499999999</v>
      </c>
    </row>
    <row r="37" spans="1:16" ht="18" customHeight="1" thickBot="1" x14ac:dyDescent="0.25">
      <c r="A37" s="11"/>
      <c r="H37" s="57"/>
      <c r="N37" s="56" t="s">
        <v>54</v>
      </c>
      <c r="P37" s="65">
        <f>P35*2%</f>
        <v>76241.654999999999</v>
      </c>
    </row>
    <row r="38" spans="1:16" ht="18" customHeight="1" x14ac:dyDescent="0.2">
      <c r="A38" s="11"/>
      <c r="H38" s="57"/>
      <c r="N38" s="60" t="s">
        <v>32</v>
      </c>
      <c r="O38" s="61"/>
      <c r="P38" s="64">
        <f>P35+P36-P37</f>
        <v>3773961.9225000003</v>
      </c>
    </row>
    <row r="40" spans="1:16" x14ac:dyDescent="0.2">
      <c r="A40" s="11"/>
      <c r="H40" s="57"/>
      <c r="P40" s="65"/>
    </row>
    <row r="41" spans="1:16" x14ac:dyDescent="0.2">
      <c r="A41" s="11"/>
      <c r="H41" s="57"/>
      <c r="O41" s="52"/>
      <c r="P41" s="65"/>
    </row>
    <row r="42" spans="1:16" s="3" customFormat="1" x14ac:dyDescent="0.25">
      <c r="A42" s="11"/>
      <c r="B42" s="2"/>
      <c r="C42" s="2"/>
      <c r="E42" s="12"/>
      <c r="H42" s="57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57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57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57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57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57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57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57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57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57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57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57"/>
      <c r="N53" s="15"/>
      <c r="O53" s="15"/>
      <c r="P53" s="15"/>
    </row>
  </sheetData>
  <mergeCells count="2">
    <mergeCell ref="A33:L33"/>
    <mergeCell ref="O33:P33"/>
  </mergeCells>
  <conditionalFormatting sqref="C3:C32">
    <cfRule type="duplicateValues" dxfId="127" priority="1"/>
  </conditionalFormatting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workbookViewId="0">
      <selection activeCell="O17" sqref="O1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10.85546875" style="12" customWidth="1"/>
    <col min="6" max="6" width="12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3">
        <v>406053</v>
      </c>
      <c r="B3" s="103" t="s">
        <v>714</v>
      </c>
      <c r="C3" s="92" t="s">
        <v>715</v>
      </c>
      <c r="D3" s="106" t="s">
        <v>59</v>
      </c>
      <c r="E3" s="93">
        <v>44517</v>
      </c>
      <c r="F3" s="92" t="s">
        <v>169</v>
      </c>
      <c r="G3" s="93">
        <v>44518</v>
      </c>
      <c r="H3" s="92" t="s">
        <v>681</v>
      </c>
      <c r="I3" s="92">
        <v>40</v>
      </c>
      <c r="J3" s="92">
        <v>40</v>
      </c>
      <c r="K3" s="92">
        <v>51</v>
      </c>
      <c r="L3" s="92">
        <v>23</v>
      </c>
      <c r="M3" s="92">
        <v>20.399999999999999</v>
      </c>
      <c r="N3" s="114">
        <v>24</v>
      </c>
      <c r="O3" s="58">
        <v>7000</v>
      </c>
      <c r="P3" s="59">
        <f>Table22457891011234567891011121314151617181920212223242526272829303132333436[[#This Row],[PEMBULATAN]]*O3</f>
        <v>168000</v>
      </c>
    </row>
    <row r="4" spans="1:16" ht="26.25" customHeight="1" x14ac:dyDescent="0.2">
      <c r="A4" s="104"/>
      <c r="B4" s="104"/>
      <c r="C4" s="92" t="s">
        <v>716</v>
      </c>
      <c r="D4" s="106" t="s">
        <v>59</v>
      </c>
      <c r="E4" s="93">
        <v>44517</v>
      </c>
      <c r="F4" s="92" t="s">
        <v>169</v>
      </c>
      <c r="G4" s="93">
        <v>44518</v>
      </c>
      <c r="H4" s="92" t="s">
        <v>681</v>
      </c>
      <c r="I4" s="92">
        <v>43</v>
      </c>
      <c r="J4" s="92">
        <v>28</v>
      </c>
      <c r="K4" s="92">
        <v>27</v>
      </c>
      <c r="L4" s="92">
        <v>5</v>
      </c>
      <c r="M4" s="92">
        <v>8.1270000000000007</v>
      </c>
      <c r="N4" s="109">
        <v>8.1270000000000007</v>
      </c>
      <c r="O4" s="58">
        <v>7000</v>
      </c>
      <c r="P4" s="59">
        <f>Table22457891011234567891011121314151617181920212223242526272829303132333436[[#This Row],[PEMBULATAN]]*O4</f>
        <v>56889.000000000007</v>
      </c>
    </row>
    <row r="5" spans="1:16" ht="26.25" customHeight="1" x14ac:dyDescent="0.2">
      <c r="A5" s="105"/>
      <c r="B5" s="105"/>
      <c r="C5" s="92" t="s">
        <v>717</v>
      </c>
      <c r="D5" s="106" t="s">
        <v>59</v>
      </c>
      <c r="E5" s="93">
        <v>44517</v>
      </c>
      <c r="F5" s="92" t="s">
        <v>169</v>
      </c>
      <c r="G5" s="93">
        <v>44518</v>
      </c>
      <c r="H5" s="92" t="s">
        <v>681</v>
      </c>
      <c r="I5" s="92">
        <v>61</v>
      </c>
      <c r="J5" s="92">
        <v>53</v>
      </c>
      <c r="K5" s="92">
        <v>14</v>
      </c>
      <c r="L5" s="92">
        <v>8</v>
      </c>
      <c r="M5" s="92">
        <v>11.3155</v>
      </c>
      <c r="N5" s="114">
        <v>12</v>
      </c>
      <c r="O5" s="58">
        <v>7000</v>
      </c>
      <c r="P5" s="59">
        <f>Table22457891011234567891011121314151617181920212223242526272829303132333436[[#This Row],[PEMBULATAN]]*O5</f>
        <v>84000</v>
      </c>
    </row>
    <row r="6" spans="1:16" ht="22.5" customHeight="1" x14ac:dyDescent="0.2">
      <c r="A6" s="145" t="s">
        <v>30</v>
      </c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7"/>
      <c r="M6" s="73">
        <f>SUBTOTAL(109,Table22457891011234567891011121314151617181920212223242526272829303132333436[KG VOLUME])</f>
        <v>39.842500000000001</v>
      </c>
      <c r="N6" s="62">
        <f>SUM(N3:N5)</f>
        <v>44.127000000000002</v>
      </c>
      <c r="O6" s="148">
        <f>SUM(P3:P5)</f>
        <v>308889</v>
      </c>
      <c r="P6" s="149"/>
    </row>
    <row r="7" spans="1:16" ht="18" customHeight="1" x14ac:dyDescent="0.2">
      <c r="A7" s="80"/>
      <c r="B7" s="50" t="s">
        <v>42</v>
      </c>
      <c r="C7" s="49"/>
      <c r="D7" s="51" t="s">
        <v>43</v>
      </c>
      <c r="E7" s="80"/>
      <c r="F7" s="80"/>
      <c r="G7" s="80"/>
      <c r="H7" s="80"/>
      <c r="I7" s="80"/>
      <c r="J7" s="80"/>
      <c r="K7" s="80"/>
      <c r="L7" s="80"/>
      <c r="M7" s="81"/>
      <c r="N7" s="82" t="s">
        <v>52</v>
      </c>
      <c r="O7" s="83"/>
      <c r="P7" s="83">
        <v>0</v>
      </c>
    </row>
    <row r="8" spans="1:16" ht="18" customHeight="1" thickBot="1" x14ac:dyDescent="0.25">
      <c r="A8" s="80"/>
      <c r="B8" s="50"/>
      <c r="C8" s="49"/>
      <c r="D8" s="51"/>
      <c r="E8" s="80"/>
      <c r="F8" s="80"/>
      <c r="G8" s="80"/>
      <c r="H8" s="80"/>
      <c r="I8" s="80"/>
      <c r="J8" s="80"/>
      <c r="K8" s="80"/>
      <c r="L8" s="80"/>
      <c r="M8" s="81"/>
      <c r="N8" s="84" t="s">
        <v>53</v>
      </c>
      <c r="O8" s="85"/>
      <c r="P8" s="85">
        <f>O6-P7</f>
        <v>308889</v>
      </c>
    </row>
    <row r="9" spans="1:16" ht="18" customHeight="1" x14ac:dyDescent="0.2">
      <c r="A9" s="11"/>
      <c r="H9" s="57"/>
      <c r="N9" s="56" t="s">
        <v>31</v>
      </c>
      <c r="P9" s="63">
        <f>P8*1%</f>
        <v>3088.89</v>
      </c>
    </row>
    <row r="10" spans="1:16" ht="18" customHeight="1" thickBot="1" x14ac:dyDescent="0.25">
      <c r="A10" s="11"/>
      <c r="H10" s="57"/>
      <c r="N10" s="56" t="s">
        <v>54</v>
      </c>
      <c r="P10" s="65">
        <f>P8*2%</f>
        <v>6177.78</v>
      </c>
    </row>
    <row r="11" spans="1:16" ht="18" customHeight="1" x14ac:dyDescent="0.2">
      <c r="A11" s="11"/>
      <c r="H11" s="57"/>
      <c r="N11" s="60" t="s">
        <v>32</v>
      </c>
      <c r="O11" s="61"/>
      <c r="P11" s="64">
        <f>P8+P9-P10</f>
        <v>305800.11</v>
      </c>
    </row>
    <row r="13" spans="1:16" x14ac:dyDescent="0.2">
      <c r="A13" s="11"/>
      <c r="H13" s="57"/>
      <c r="P13" s="65"/>
    </row>
    <row r="14" spans="1:16" x14ac:dyDescent="0.2">
      <c r="A14" s="11"/>
      <c r="H14" s="57"/>
      <c r="O14" s="52"/>
      <c r="P14" s="65"/>
    </row>
    <row r="15" spans="1:16" s="3" customFormat="1" x14ac:dyDescent="0.25">
      <c r="A15" s="11"/>
      <c r="B15" s="2"/>
      <c r="C15" s="2"/>
      <c r="E15" s="12"/>
      <c r="H15" s="57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57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57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57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57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7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7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7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7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7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7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57"/>
      <c r="N26" s="15"/>
      <c r="O26" s="15"/>
      <c r="P26" s="15"/>
    </row>
  </sheetData>
  <mergeCells count="2">
    <mergeCell ref="A6:L6"/>
    <mergeCell ref="O6:P6"/>
  </mergeCells>
  <conditionalFormatting sqref="C3:C5">
    <cfRule type="duplicateValues" dxfId="111" priority="1"/>
  </conditionalFormatting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0"/>
  <sheetViews>
    <sheetView workbookViewId="0">
      <selection activeCell="N12" sqref="N12"/>
    </sheetView>
  </sheetViews>
  <sheetFormatPr defaultRowHeight="15" x14ac:dyDescent="0.2"/>
  <cols>
    <col min="1" max="1" width="8" style="4" customWidth="1"/>
    <col min="2" max="2" width="19.5703125" style="2" customWidth="1"/>
    <col min="3" max="3" width="15.7109375" style="2" customWidth="1"/>
    <col min="4" max="4" width="9.42578125" style="3" customWidth="1"/>
    <col min="5" max="5" width="9.42578125" style="12" customWidth="1"/>
    <col min="6" max="6" width="14.42578125" style="3" customWidth="1"/>
    <col min="7" max="7" width="9.5703125" style="3" customWidth="1"/>
    <col min="8" max="8" width="15.5703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3">
        <v>403876</v>
      </c>
      <c r="B3" s="103" t="s">
        <v>718</v>
      </c>
      <c r="C3" s="92" t="s">
        <v>719</v>
      </c>
      <c r="D3" s="106" t="s">
        <v>59</v>
      </c>
      <c r="E3" s="93">
        <v>44517</v>
      </c>
      <c r="F3" s="106" t="s">
        <v>169</v>
      </c>
      <c r="G3" s="93">
        <v>44518</v>
      </c>
      <c r="H3" s="92" t="s">
        <v>681</v>
      </c>
      <c r="I3" s="92">
        <v>80</v>
      </c>
      <c r="J3" s="92">
        <v>63</v>
      </c>
      <c r="K3" s="92">
        <v>35</v>
      </c>
      <c r="L3" s="92">
        <v>30</v>
      </c>
      <c r="M3" s="92">
        <v>44.1</v>
      </c>
      <c r="N3" s="109">
        <v>44.1</v>
      </c>
      <c r="O3" s="58">
        <v>7000</v>
      </c>
      <c r="P3" s="59">
        <f>Table2245789101123456789101112131415161718192021222324252627282930313233343537[[#This Row],[PEMBULATAN]]*O3</f>
        <v>308700</v>
      </c>
    </row>
    <row r="4" spans="1:16" ht="26.25" customHeight="1" x14ac:dyDescent="0.2">
      <c r="A4" s="104"/>
      <c r="B4" s="104"/>
      <c r="C4" s="92" t="s">
        <v>720</v>
      </c>
      <c r="D4" s="106" t="s">
        <v>59</v>
      </c>
      <c r="E4" s="93">
        <v>44517</v>
      </c>
      <c r="F4" s="106" t="s">
        <v>169</v>
      </c>
      <c r="G4" s="93">
        <v>44518</v>
      </c>
      <c r="H4" s="92" t="s">
        <v>681</v>
      </c>
      <c r="I4" s="92">
        <v>60</v>
      </c>
      <c r="J4" s="92">
        <v>51</v>
      </c>
      <c r="K4" s="92">
        <v>32</v>
      </c>
      <c r="L4" s="92">
        <v>16</v>
      </c>
      <c r="M4" s="92">
        <v>24.48</v>
      </c>
      <c r="N4" s="109">
        <v>25</v>
      </c>
      <c r="O4" s="58">
        <v>7000</v>
      </c>
      <c r="P4" s="59">
        <f>Table2245789101123456789101112131415161718192021222324252627282930313233343537[[#This Row],[PEMBULATAN]]*O4</f>
        <v>175000</v>
      </c>
    </row>
    <row r="5" spans="1:16" ht="26.25" customHeight="1" x14ac:dyDescent="0.2">
      <c r="A5" s="104"/>
      <c r="B5" s="104"/>
      <c r="C5" s="92" t="s">
        <v>721</v>
      </c>
      <c r="D5" s="106" t="s">
        <v>59</v>
      </c>
      <c r="E5" s="93">
        <v>44517</v>
      </c>
      <c r="F5" s="106" t="s">
        <v>169</v>
      </c>
      <c r="G5" s="93">
        <v>44518</v>
      </c>
      <c r="H5" s="92" t="s">
        <v>681</v>
      </c>
      <c r="I5" s="92">
        <v>55</v>
      </c>
      <c r="J5" s="92">
        <v>31</v>
      </c>
      <c r="K5" s="92">
        <v>26</v>
      </c>
      <c r="L5" s="92">
        <v>5</v>
      </c>
      <c r="M5" s="92">
        <v>11.0825</v>
      </c>
      <c r="N5" s="109">
        <v>11.0825</v>
      </c>
      <c r="O5" s="58">
        <v>7000</v>
      </c>
      <c r="P5" s="59">
        <f>Table2245789101123456789101112131415161718192021222324252627282930313233343537[[#This Row],[PEMBULATAN]]*O5</f>
        <v>77577.5</v>
      </c>
    </row>
    <row r="6" spans="1:16" ht="26.25" customHeight="1" x14ac:dyDescent="0.2">
      <c r="A6" s="104"/>
      <c r="B6" s="104"/>
      <c r="C6" s="92" t="s">
        <v>722</v>
      </c>
      <c r="D6" s="106" t="s">
        <v>59</v>
      </c>
      <c r="E6" s="93">
        <v>44517</v>
      </c>
      <c r="F6" s="106" t="s">
        <v>169</v>
      </c>
      <c r="G6" s="93">
        <v>44518</v>
      </c>
      <c r="H6" s="92" t="s">
        <v>681</v>
      </c>
      <c r="I6" s="92">
        <v>63</v>
      </c>
      <c r="J6" s="92">
        <v>52</v>
      </c>
      <c r="K6" s="92">
        <v>42</v>
      </c>
      <c r="L6" s="92">
        <v>26</v>
      </c>
      <c r="M6" s="92">
        <v>34.398000000000003</v>
      </c>
      <c r="N6" s="109">
        <v>35</v>
      </c>
      <c r="O6" s="58">
        <v>7000</v>
      </c>
      <c r="P6" s="59">
        <f>Table2245789101123456789101112131415161718192021222324252627282930313233343537[[#This Row],[PEMBULATAN]]*O6</f>
        <v>245000</v>
      </c>
    </row>
    <row r="7" spans="1:16" ht="26.25" customHeight="1" x14ac:dyDescent="0.2">
      <c r="A7" s="104"/>
      <c r="B7" s="104"/>
      <c r="C7" s="67" t="s">
        <v>723</v>
      </c>
      <c r="D7" s="72" t="s">
        <v>59</v>
      </c>
      <c r="E7" s="13">
        <v>44517</v>
      </c>
      <c r="F7" s="70" t="s">
        <v>169</v>
      </c>
      <c r="G7" s="13">
        <v>44518</v>
      </c>
      <c r="H7" s="71" t="s">
        <v>681</v>
      </c>
      <c r="I7" s="16">
        <v>63</v>
      </c>
      <c r="J7" s="16">
        <v>56</v>
      </c>
      <c r="K7" s="16">
        <v>41</v>
      </c>
      <c r="L7" s="16">
        <v>26</v>
      </c>
      <c r="M7" s="75">
        <v>36.161999999999999</v>
      </c>
      <c r="N7" s="109">
        <v>36.161999999999999</v>
      </c>
      <c r="O7" s="58">
        <v>7000</v>
      </c>
      <c r="P7" s="59">
        <f>Table2245789101123456789101112131415161718192021222324252627282930313233343537[[#This Row],[PEMBULATAN]]*O7</f>
        <v>253134</v>
      </c>
    </row>
    <row r="8" spans="1:16" ht="26.25" customHeight="1" x14ac:dyDescent="0.2">
      <c r="A8" s="104"/>
      <c r="B8" s="104"/>
      <c r="C8" s="67" t="s">
        <v>724</v>
      </c>
      <c r="D8" s="72" t="s">
        <v>59</v>
      </c>
      <c r="E8" s="13">
        <v>44517</v>
      </c>
      <c r="F8" s="70" t="s">
        <v>169</v>
      </c>
      <c r="G8" s="13">
        <v>44518</v>
      </c>
      <c r="H8" s="71" t="s">
        <v>681</v>
      </c>
      <c r="I8" s="16">
        <v>63</v>
      </c>
      <c r="J8" s="16">
        <v>42</v>
      </c>
      <c r="K8" s="16">
        <v>41</v>
      </c>
      <c r="L8" s="16">
        <v>19</v>
      </c>
      <c r="M8" s="75">
        <v>27.121500000000001</v>
      </c>
      <c r="N8" s="109">
        <v>27.121500000000001</v>
      </c>
      <c r="O8" s="58">
        <v>7000</v>
      </c>
      <c r="P8" s="59">
        <f>Table2245789101123456789101112131415161718192021222324252627282930313233343537[[#This Row],[PEMBULATAN]]*O8</f>
        <v>189850.5</v>
      </c>
    </row>
    <row r="9" spans="1:16" ht="26.25" customHeight="1" x14ac:dyDescent="0.2">
      <c r="A9" s="104"/>
      <c r="B9" s="104"/>
      <c r="C9" s="67" t="s">
        <v>725</v>
      </c>
      <c r="D9" s="72" t="s">
        <v>59</v>
      </c>
      <c r="E9" s="13">
        <v>44517</v>
      </c>
      <c r="F9" s="70" t="s">
        <v>169</v>
      </c>
      <c r="G9" s="13">
        <v>44518</v>
      </c>
      <c r="H9" s="71" t="s">
        <v>681</v>
      </c>
      <c r="I9" s="16">
        <v>58</v>
      </c>
      <c r="J9" s="16">
        <v>42</v>
      </c>
      <c r="K9" s="16">
        <v>27</v>
      </c>
      <c r="L9" s="16">
        <v>14</v>
      </c>
      <c r="M9" s="75">
        <v>16.443000000000001</v>
      </c>
      <c r="N9" s="109">
        <v>17</v>
      </c>
      <c r="O9" s="58">
        <v>7000</v>
      </c>
      <c r="P9" s="59">
        <f>Table2245789101123456789101112131415161718192021222324252627282930313233343537[[#This Row],[PEMBULATAN]]*O9</f>
        <v>119000</v>
      </c>
    </row>
    <row r="10" spans="1:16" ht="26.25" customHeight="1" x14ac:dyDescent="0.2">
      <c r="A10" s="104"/>
      <c r="B10" s="104"/>
      <c r="C10" s="67" t="s">
        <v>726</v>
      </c>
      <c r="D10" s="72" t="s">
        <v>59</v>
      </c>
      <c r="E10" s="13">
        <v>44517</v>
      </c>
      <c r="F10" s="70" t="s">
        <v>169</v>
      </c>
      <c r="G10" s="13">
        <v>44518</v>
      </c>
      <c r="H10" s="71" t="s">
        <v>681</v>
      </c>
      <c r="I10" s="16">
        <v>43</v>
      </c>
      <c r="J10" s="16">
        <v>40</v>
      </c>
      <c r="K10" s="16">
        <v>31</v>
      </c>
      <c r="L10" s="16">
        <v>12</v>
      </c>
      <c r="M10" s="75">
        <v>13.33</v>
      </c>
      <c r="N10" s="109">
        <v>14</v>
      </c>
      <c r="O10" s="58">
        <v>7000</v>
      </c>
      <c r="P10" s="59">
        <f>Table2245789101123456789101112131415161718192021222324252627282930313233343537[[#This Row],[PEMBULATAN]]*O10</f>
        <v>98000</v>
      </c>
    </row>
    <row r="11" spans="1:16" ht="26.25" customHeight="1" x14ac:dyDescent="0.2">
      <c r="A11" s="104"/>
      <c r="B11" s="104"/>
      <c r="C11" s="67" t="s">
        <v>727</v>
      </c>
      <c r="D11" s="72" t="s">
        <v>59</v>
      </c>
      <c r="E11" s="13">
        <v>44517</v>
      </c>
      <c r="F11" s="70" t="s">
        <v>169</v>
      </c>
      <c r="G11" s="13">
        <v>44518</v>
      </c>
      <c r="H11" s="71" t="s">
        <v>681</v>
      </c>
      <c r="I11" s="16">
        <v>47</v>
      </c>
      <c r="J11" s="16">
        <v>39</v>
      </c>
      <c r="K11" s="16">
        <v>28</v>
      </c>
      <c r="L11" s="16">
        <v>8</v>
      </c>
      <c r="M11" s="75">
        <v>12.831</v>
      </c>
      <c r="N11" s="109">
        <v>12.831</v>
      </c>
      <c r="O11" s="58">
        <v>7000</v>
      </c>
      <c r="P11" s="59">
        <f>Table2245789101123456789101112131415161718192021222324252627282930313233343537[[#This Row],[PEMBULATAN]]*O11</f>
        <v>89817</v>
      </c>
    </row>
    <row r="12" spans="1:16" ht="26.25" customHeight="1" x14ac:dyDescent="0.2">
      <c r="A12" s="104"/>
      <c r="B12" s="104"/>
      <c r="C12" s="67" t="s">
        <v>728</v>
      </c>
      <c r="D12" s="72" t="s">
        <v>59</v>
      </c>
      <c r="E12" s="13">
        <v>44517</v>
      </c>
      <c r="F12" s="70" t="s">
        <v>169</v>
      </c>
      <c r="G12" s="13">
        <v>44518</v>
      </c>
      <c r="H12" s="71" t="s">
        <v>681</v>
      </c>
      <c r="I12" s="16">
        <v>55</v>
      </c>
      <c r="J12" s="16">
        <v>48</v>
      </c>
      <c r="K12" s="16">
        <v>31</v>
      </c>
      <c r="L12" s="16">
        <v>6</v>
      </c>
      <c r="M12" s="75">
        <v>20.46</v>
      </c>
      <c r="N12" s="109">
        <v>21</v>
      </c>
      <c r="O12" s="58">
        <v>7000</v>
      </c>
      <c r="P12" s="59">
        <f>Table2245789101123456789101112131415161718192021222324252627282930313233343537[[#This Row],[PEMBULATAN]]*O12</f>
        <v>147000</v>
      </c>
    </row>
    <row r="13" spans="1:16" ht="26.25" customHeight="1" x14ac:dyDescent="0.2">
      <c r="A13" s="104"/>
      <c r="B13" s="104"/>
      <c r="C13" s="67" t="s">
        <v>729</v>
      </c>
      <c r="D13" s="72" t="s">
        <v>59</v>
      </c>
      <c r="E13" s="13">
        <v>44517</v>
      </c>
      <c r="F13" s="70" t="s">
        <v>169</v>
      </c>
      <c r="G13" s="13">
        <v>44518</v>
      </c>
      <c r="H13" s="71" t="s">
        <v>681</v>
      </c>
      <c r="I13" s="16">
        <v>57</v>
      </c>
      <c r="J13" s="16">
        <v>41</v>
      </c>
      <c r="K13" s="16">
        <v>42</v>
      </c>
      <c r="L13" s="16">
        <v>17</v>
      </c>
      <c r="M13" s="75">
        <v>24.538499999999999</v>
      </c>
      <c r="N13" s="109">
        <v>24.538499999999999</v>
      </c>
      <c r="O13" s="58">
        <v>7000</v>
      </c>
      <c r="P13" s="59">
        <f>Table2245789101123456789101112131415161718192021222324252627282930313233343537[[#This Row],[PEMBULATAN]]*O13</f>
        <v>171769.5</v>
      </c>
    </row>
    <row r="14" spans="1:16" ht="26.25" customHeight="1" x14ac:dyDescent="0.2">
      <c r="A14" s="104"/>
      <c r="B14" s="104"/>
      <c r="C14" s="67" t="s">
        <v>730</v>
      </c>
      <c r="D14" s="72" t="s">
        <v>59</v>
      </c>
      <c r="E14" s="13">
        <v>44517</v>
      </c>
      <c r="F14" s="70" t="s">
        <v>169</v>
      </c>
      <c r="G14" s="13">
        <v>44518</v>
      </c>
      <c r="H14" s="71" t="s">
        <v>681</v>
      </c>
      <c r="I14" s="16">
        <v>75</v>
      </c>
      <c r="J14" s="16">
        <v>38</v>
      </c>
      <c r="K14" s="16">
        <v>29</v>
      </c>
      <c r="L14" s="16">
        <v>11</v>
      </c>
      <c r="M14" s="75">
        <v>20.662500000000001</v>
      </c>
      <c r="N14" s="109">
        <v>20.662500000000001</v>
      </c>
      <c r="O14" s="58">
        <v>7000</v>
      </c>
      <c r="P14" s="59">
        <f>Table2245789101123456789101112131415161718192021222324252627282930313233343537[[#This Row],[PEMBULATAN]]*O14</f>
        <v>144637.5</v>
      </c>
    </row>
    <row r="15" spans="1:16" ht="26.25" customHeight="1" x14ac:dyDescent="0.2">
      <c r="A15" s="104"/>
      <c r="B15" s="104"/>
      <c r="C15" s="67" t="s">
        <v>731</v>
      </c>
      <c r="D15" s="72" t="s">
        <v>59</v>
      </c>
      <c r="E15" s="13">
        <v>44517</v>
      </c>
      <c r="F15" s="70" t="s">
        <v>169</v>
      </c>
      <c r="G15" s="13">
        <v>44518</v>
      </c>
      <c r="H15" s="71" t="s">
        <v>681</v>
      </c>
      <c r="I15" s="16">
        <v>51</v>
      </c>
      <c r="J15" s="16">
        <v>45</v>
      </c>
      <c r="K15" s="16">
        <v>30</v>
      </c>
      <c r="L15" s="16">
        <v>9</v>
      </c>
      <c r="M15" s="75">
        <v>17.212499999999999</v>
      </c>
      <c r="N15" s="109">
        <v>17.212499999999999</v>
      </c>
      <c r="O15" s="58">
        <v>7000</v>
      </c>
      <c r="P15" s="59">
        <f>Table2245789101123456789101112131415161718192021222324252627282930313233343537[[#This Row],[PEMBULATAN]]*O15</f>
        <v>120487.49999999999</v>
      </c>
    </row>
    <row r="16" spans="1:16" ht="26.25" customHeight="1" x14ac:dyDescent="0.2">
      <c r="A16" s="104"/>
      <c r="B16" s="104"/>
      <c r="C16" s="67" t="s">
        <v>732</v>
      </c>
      <c r="D16" s="72" t="s">
        <v>59</v>
      </c>
      <c r="E16" s="13">
        <v>44517</v>
      </c>
      <c r="F16" s="70" t="s">
        <v>169</v>
      </c>
      <c r="G16" s="13">
        <v>44518</v>
      </c>
      <c r="H16" s="71" t="s">
        <v>681</v>
      </c>
      <c r="I16" s="16">
        <v>37</v>
      </c>
      <c r="J16" s="16">
        <v>28</v>
      </c>
      <c r="K16" s="16">
        <v>26</v>
      </c>
      <c r="L16" s="16">
        <v>11</v>
      </c>
      <c r="M16" s="75">
        <v>6.734</v>
      </c>
      <c r="N16" s="109">
        <v>11</v>
      </c>
      <c r="O16" s="58">
        <v>7000</v>
      </c>
      <c r="P16" s="59">
        <f>Table2245789101123456789101112131415161718192021222324252627282930313233343537[[#This Row],[PEMBULATAN]]*O16</f>
        <v>77000</v>
      </c>
    </row>
    <row r="17" spans="1:16" ht="26.25" customHeight="1" x14ac:dyDescent="0.2">
      <c r="A17" s="104"/>
      <c r="B17" s="104"/>
      <c r="C17" s="67" t="s">
        <v>733</v>
      </c>
      <c r="D17" s="72" t="s">
        <v>59</v>
      </c>
      <c r="E17" s="13">
        <v>44517</v>
      </c>
      <c r="F17" s="70" t="s">
        <v>169</v>
      </c>
      <c r="G17" s="13">
        <v>44518</v>
      </c>
      <c r="H17" s="71" t="s">
        <v>681</v>
      </c>
      <c r="I17" s="16">
        <v>80</v>
      </c>
      <c r="J17" s="16">
        <v>64</v>
      </c>
      <c r="K17" s="16">
        <v>36</v>
      </c>
      <c r="L17" s="16">
        <v>10</v>
      </c>
      <c r="M17" s="75">
        <v>46.08</v>
      </c>
      <c r="N17" s="109">
        <v>46.08</v>
      </c>
      <c r="O17" s="58">
        <v>7000</v>
      </c>
      <c r="P17" s="59">
        <f>Table2245789101123456789101112131415161718192021222324252627282930313233343537[[#This Row],[PEMBULATAN]]*O17</f>
        <v>322560</v>
      </c>
    </row>
    <row r="18" spans="1:16" ht="26.25" customHeight="1" x14ac:dyDescent="0.2">
      <c r="A18" s="104"/>
      <c r="B18" s="104"/>
      <c r="C18" s="67" t="s">
        <v>734</v>
      </c>
      <c r="D18" s="72" t="s">
        <v>59</v>
      </c>
      <c r="E18" s="13">
        <v>44517</v>
      </c>
      <c r="F18" s="70" t="s">
        <v>169</v>
      </c>
      <c r="G18" s="13">
        <v>44518</v>
      </c>
      <c r="H18" s="71" t="s">
        <v>681</v>
      </c>
      <c r="I18" s="16">
        <v>41</v>
      </c>
      <c r="J18" s="16">
        <v>37</v>
      </c>
      <c r="K18" s="16">
        <v>26</v>
      </c>
      <c r="L18" s="16">
        <v>11</v>
      </c>
      <c r="M18" s="75">
        <v>9.8605</v>
      </c>
      <c r="N18" s="109">
        <v>11</v>
      </c>
      <c r="O18" s="58">
        <v>7000</v>
      </c>
      <c r="P18" s="59">
        <f>Table2245789101123456789101112131415161718192021222324252627282930313233343537[[#This Row],[PEMBULATAN]]*O18</f>
        <v>77000</v>
      </c>
    </row>
    <row r="19" spans="1:16" ht="26.25" customHeight="1" x14ac:dyDescent="0.2">
      <c r="A19" s="104"/>
      <c r="B19" s="104"/>
      <c r="C19" s="67" t="s">
        <v>735</v>
      </c>
      <c r="D19" s="72" t="s">
        <v>59</v>
      </c>
      <c r="E19" s="13">
        <v>44517</v>
      </c>
      <c r="F19" s="70" t="s">
        <v>169</v>
      </c>
      <c r="G19" s="13">
        <v>44518</v>
      </c>
      <c r="H19" s="71" t="s">
        <v>681</v>
      </c>
      <c r="I19" s="16">
        <v>44</v>
      </c>
      <c r="J19" s="16">
        <v>36</v>
      </c>
      <c r="K19" s="16">
        <v>32</v>
      </c>
      <c r="L19" s="16">
        <v>15</v>
      </c>
      <c r="M19" s="75">
        <v>12.672000000000001</v>
      </c>
      <c r="N19" s="109">
        <v>15</v>
      </c>
      <c r="O19" s="58">
        <v>7000</v>
      </c>
      <c r="P19" s="59">
        <f>Table2245789101123456789101112131415161718192021222324252627282930313233343537[[#This Row],[PEMBULATAN]]*O19</f>
        <v>105000</v>
      </c>
    </row>
    <row r="20" spans="1:16" ht="26.25" customHeight="1" x14ac:dyDescent="0.2">
      <c r="A20" s="104"/>
      <c r="B20" s="104"/>
      <c r="C20" s="67" t="s">
        <v>736</v>
      </c>
      <c r="D20" s="72" t="s">
        <v>59</v>
      </c>
      <c r="E20" s="13">
        <v>44517</v>
      </c>
      <c r="F20" s="70" t="s">
        <v>169</v>
      </c>
      <c r="G20" s="13">
        <v>44518</v>
      </c>
      <c r="H20" s="71" t="s">
        <v>681</v>
      </c>
      <c r="I20" s="16">
        <v>39</v>
      </c>
      <c r="J20" s="16">
        <v>28</v>
      </c>
      <c r="K20" s="16">
        <v>12</v>
      </c>
      <c r="L20" s="16">
        <v>14</v>
      </c>
      <c r="M20" s="75">
        <v>3.2759999999999998</v>
      </c>
      <c r="N20" s="109">
        <v>14</v>
      </c>
      <c r="O20" s="58">
        <v>7000</v>
      </c>
      <c r="P20" s="59">
        <f>Table2245789101123456789101112131415161718192021222324252627282930313233343537[[#This Row],[PEMBULATAN]]*O20</f>
        <v>98000</v>
      </c>
    </row>
    <row r="21" spans="1:16" ht="26.25" customHeight="1" x14ac:dyDescent="0.2">
      <c r="A21" s="104"/>
      <c r="B21" s="104"/>
      <c r="C21" s="67" t="s">
        <v>737</v>
      </c>
      <c r="D21" s="72" t="s">
        <v>59</v>
      </c>
      <c r="E21" s="13">
        <v>44517</v>
      </c>
      <c r="F21" s="70" t="s">
        <v>169</v>
      </c>
      <c r="G21" s="13">
        <v>44518</v>
      </c>
      <c r="H21" s="71" t="s">
        <v>681</v>
      </c>
      <c r="I21" s="16">
        <v>66</v>
      </c>
      <c r="J21" s="16">
        <v>42</v>
      </c>
      <c r="K21" s="16">
        <v>25</v>
      </c>
      <c r="L21" s="16">
        <v>10</v>
      </c>
      <c r="M21" s="75">
        <v>17.324999999999999</v>
      </c>
      <c r="N21" s="109">
        <v>18</v>
      </c>
      <c r="O21" s="58">
        <v>7000</v>
      </c>
      <c r="P21" s="59">
        <f>Table2245789101123456789101112131415161718192021222324252627282930313233343537[[#This Row],[PEMBULATAN]]*O21</f>
        <v>126000</v>
      </c>
    </row>
    <row r="22" spans="1:16" ht="26.25" customHeight="1" x14ac:dyDescent="0.2">
      <c r="A22" s="104"/>
      <c r="B22" s="104"/>
      <c r="C22" s="67" t="s">
        <v>738</v>
      </c>
      <c r="D22" s="72" t="s">
        <v>59</v>
      </c>
      <c r="E22" s="13">
        <v>44517</v>
      </c>
      <c r="F22" s="70" t="s">
        <v>169</v>
      </c>
      <c r="G22" s="13">
        <v>44518</v>
      </c>
      <c r="H22" s="71" t="s">
        <v>681</v>
      </c>
      <c r="I22" s="16">
        <v>41</v>
      </c>
      <c r="J22" s="16">
        <v>38</v>
      </c>
      <c r="K22" s="16">
        <v>33</v>
      </c>
      <c r="L22" s="16">
        <v>12</v>
      </c>
      <c r="M22" s="75">
        <v>12.8535</v>
      </c>
      <c r="N22" s="109">
        <v>12.8535</v>
      </c>
      <c r="O22" s="58">
        <v>7000</v>
      </c>
      <c r="P22" s="59">
        <f>Table2245789101123456789101112131415161718192021222324252627282930313233343537[[#This Row],[PEMBULATAN]]*O22</f>
        <v>89974.5</v>
      </c>
    </row>
    <row r="23" spans="1:16" ht="26.25" customHeight="1" x14ac:dyDescent="0.2">
      <c r="A23" s="104"/>
      <c r="B23" s="104"/>
      <c r="C23" s="67" t="s">
        <v>739</v>
      </c>
      <c r="D23" s="72" t="s">
        <v>59</v>
      </c>
      <c r="E23" s="13">
        <v>44517</v>
      </c>
      <c r="F23" s="70" t="s">
        <v>169</v>
      </c>
      <c r="G23" s="13">
        <v>44518</v>
      </c>
      <c r="H23" s="71" t="s">
        <v>681</v>
      </c>
      <c r="I23" s="16">
        <v>53</v>
      </c>
      <c r="J23" s="16">
        <v>32</v>
      </c>
      <c r="K23" s="16">
        <v>20</v>
      </c>
      <c r="L23" s="16">
        <v>7</v>
      </c>
      <c r="M23" s="75">
        <v>8.48</v>
      </c>
      <c r="N23" s="109">
        <v>9</v>
      </c>
      <c r="O23" s="58">
        <v>7000</v>
      </c>
      <c r="P23" s="59">
        <f>Table2245789101123456789101112131415161718192021222324252627282930313233343537[[#This Row],[PEMBULATAN]]*O23</f>
        <v>63000</v>
      </c>
    </row>
    <row r="24" spans="1:16" ht="26.25" customHeight="1" x14ac:dyDescent="0.2">
      <c r="A24" s="104"/>
      <c r="B24" s="104"/>
      <c r="C24" s="67" t="s">
        <v>740</v>
      </c>
      <c r="D24" s="72" t="s">
        <v>59</v>
      </c>
      <c r="E24" s="13">
        <v>44517</v>
      </c>
      <c r="F24" s="70" t="s">
        <v>169</v>
      </c>
      <c r="G24" s="13">
        <v>44518</v>
      </c>
      <c r="H24" s="71" t="s">
        <v>681</v>
      </c>
      <c r="I24" s="16">
        <v>42</v>
      </c>
      <c r="J24" s="16">
        <v>32</v>
      </c>
      <c r="K24" s="16">
        <v>28</v>
      </c>
      <c r="L24" s="16">
        <v>16</v>
      </c>
      <c r="M24" s="75">
        <v>9.4079999999999995</v>
      </c>
      <c r="N24" s="109">
        <v>17</v>
      </c>
      <c r="O24" s="58">
        <v>7000</v>
      </c>
      <c r="P24" s="59">
        <f>Table2245789101123456789101112131415161718192021222324252627282930313233343537[[#This Row],[PEMBULATAN]]*O24</f>
        <v>119000</v>
      </c>
    </row>
    <row r="25" spans="1:16" ht="26.25" customHeight="1" x14ac:dyDescent="0.2">
      <c r="A25" s="104"/>
      <c r="B25" s="104"/>
      <c r="C25" s="67" t="s">
        <v>741</v>
      </c>
      <c r="D25" s="72" t="s">
        <v>59</v>
      </c>
      <c r="E25" s="13">
        <v>44517</v>
      </c>
      <c r="F25" s="70" t="s">
        <v>169</v>
      </c>
      <c r="G25" s="13">
        <v>44518</v>
      </c>
      <c r="H25" s="71" t="s">
        <v>681</v>
      </c>
      <c r="I25" s="16">
        <v>66</v>
      </c>
      <c r="J25" s="16">
        <v>52</v>
      </c>
      <c r="K25" s="16">
        <v>33</v>
      </c>
      <c r="L25" s="16">
        <v>12</v>
      </c>
      <c r="M25" s="75">
        <v>28.314</v>
      </c>
      <c r="N25" s="109">
        <v>29</v>
      </c>
      <c r="O25" s="58">
        <v>7000</v>
      </c>
      <c r="P25" s="59">
        <f>Table2245789101123456789101112131415161718192021222324252627282930313233343537[[#This Row],[PEMBULATAN]]*O25</f>
        <v>203000</v>
      </c>
    </row>
    <row r="26" spans="1:16" ht="26.25" customHeight="1" x14ac:dyDescent="0.2">
      <c r="A26" s="104"/>
      <c r="B26" s="104"/>
      <c r="C26" s="67" t="s">
        <v>742</v>
      </c>
      <c r="D26" s="72" t="s">
        <v>59</v>
      </c>
      <c r="E26" s="13">
        <v>44517</v>
      </c>
      <c r="F26" s="70" t="s">
        <v>169</v>
      </c>
      <c r="G26" s="13">
        <v>44518</v>
      </c>
      <c r="H26" s="71" t="s">
        <v>681</v>
      </c>
      <c r="I26" s="16">
        <v>45</v>
      </c>
      <c r="J26" s="16">
        <v>32</v>
      </c>
      <c r="K26" s="16">
        <v>26</v>
      </c>
      <c r="L26" s="16">
        <v>13</v>
      </c>
      <c r="M26" s="75">
        <v>9.36</v>
      </c>
      <c r="N26" s="109">
        <v>14</v>
      </c>
      <c r="O26" s="58">
        <v>7000</v>
      </c>
      <c r="P26" s="59">
        <f>Table2245789101123456789101112131415161718192021222324252627282930313233343537[[#This Row],[PEMBULATAN]]*O26</f>
        <v>98000</v>
      </c>
    </row>
    <row r="27" spans="1:16" ht="26.25" customHeight="1" x14ac:dyDescent="0.2">
      <c r="A27" s="104"/>
      <c r="B27" s="104"/>
      <c r="C27" s="67" t="s">
        <v>743</v>
      </c>
      <c r="D27" s="72" t="s">
        <v>59</v>
      </c>
      <c r="E27" s="13">
        <v>44517</v>
      </c>
      <c r="F27" s="70" t="s">
        <v>169</v>
      </c>
      <c r="G27" s="13">
        <v>44518</v>
      </c>
      <c r="H27" s="71" t="s">
        <v>681</v>
      </c>
      <c r="I27" s="16">
        <v>42</v>
      </c>
      <c r="J27" s="16">
        <v>30</v>
      </c>
      <c r="K27" s="16">
        <v>25</v>
      </c>
      <c r="L27" s="16">
        <v>10</v>
      </c>
      <c r="M27" s="75">
        <v>7.875</v>
      </c>
      <c r="N27" s="109">
        <v>10</v>
      </c>
      <c r="O27" s="58">
        <v>7000</v>
      </c>
      <c r="P27" s="59">
        <f>Table2245789101123456789101112131415161718192021222324252627282930313233343537[[#This Row],[PEMBULATAN]]*O27</f>
        <v>70000</v>
      </c>
    </row>
    <row r="28" spans="1:16" ht="26.25" customHeight="1" x14ac:dyDescent="0.2">
      <c r="A28" s="104"/>
      <c r="B28" s="104"/>
      <c r="C28" s="67" t="s">
        <v>744</v>
      </c>
      <c r="D28" s="72" t="s">
        <v>59</v>
      </c>
      <c r="E28" s="13">
        <v>44517</v>
      </c>
      <c r="F28" s="70" t="s">
        <v>169</v>
      </c>
      <c r="G28" s="13">
        <v>44518</v>
      </c>
      <c r="H28" s="71" t="s">
        <v>681</v>
      </c>
      <c r="I28" s="16">
        <v>52</v>
      </c>
      <c r="J28" s="16">
        <v>36</v>
      </c>
      <c r="K28" s="16">
        <v>30</v>
      </c>
      <c r="L28" s="16">
        <v>10</v>
      </c>
      <c r="M28" s="75">
        <v>14.04</v>
      </c>
      <c r="N28" s="109">
        <v>14.04</v>
      </c>
      <c r="O28" s="58">
        <v>7000</v>
      </c>
      <c r="P28" s="59">
        <f>Table2245789101123456789101112131415161718192021222324252627282930313233343537[[#This Row],[PEMBULATAN]]*O28</f>
        <v>98280</v>
      </c>
    </row>
    <row r="29" spans="1:16" ht="26.25" customHeight="1" x14ac:dyDescent="0.2">
      <c r="A29" s="104"/>
      <c r="B29" s="104"/>
      <c r="C29" s="67" t="s">
        <v>745</v>
      </c>
      <c r="D29" s="72" t="s">
        <v>59</v>
      </c>
      <c r="E29" s="13">
        <v>44517</v>
      </c>
      <c r="F29" s="70" t="s">
        <v>169</v>
      </c>
      <c r="G29" s="13">
        <v>44518</v>
      </c>
      <c r="H29" s="71" t="s">
        <v>681</v>
      </c>
      <c r="I29" s="16">
        <v>40</v>
      </c>
      <c r="J29" s="16">
        <v>30</v>
      </c>
      <c r="K29" s="16">
        <v>32</v>
      </c>
      <c r="L29" s="16">
        <v>10</v>
      </c>
      <c r="M29" s="75">
        <v>9.6</v>
      </c>
      <c r="N29" s="109">
        <v>10</v>
      </c>
      <c r="O29" s="58">
        <v>7000</v>
      </c>
      <c r="P29" s="59">
        <f>Table2245789101123456789101112131415161718192021222324252627282930313233343537[[#This Row],[PEMBULATAN]]*O29</f>
        <v>70000</v>
      </c>
    </row>
    <row r="30" spans="1:16" ht="26.25" customHeight="1" x14ac:dyDescent="0.2">
      <c r="A30" s="104"/>
      <c r="B30" s="104"/>
      <c r="C30" s="67" t="s">
        <v>746</v>
      </c>
      <c r="D30" s="72" t="s">
        <v>59</v>
      </c>
      <c r="E30" s="13">
        <v>44517</v>
      </c>
      <c r="F30" s="70" t="s">
        <v>169</v>
      </c>
      <c r="G30" s="13">
        <v>44518</v>
      </c>
      <c r="H30" s="71" t="s">
        <v>681</v>
      </c>
      <c r="I30" s="16">
        <v>30</v>
      </c>
      <c r="J30" s="16">
        <v>30</v>
      </c>
      <c r="K30" s="16">
        <v>31</v>
      </c>
      <c r="L30" s="16">
        <v>2</v>
      </c>
      <c r="M30" s="75">
        <v>6.9749999999999996</v>
      </c>
      <c r="N30" s="109">
        <v>6.9749999999999996</v>
      </c>
      <c r="O30" s="58">
        <v>7000</v>
      </c>
      <c r="P30" s="59">
        <f>Table2245789101123456789101112131415161718192021222324252627282930313233343537[[#This Row],[PEMBULATAN]]*O30</f>
        <v>48825</v>
      </c>
    </row>
    <row r="31" spans="1:16" ht="26.25" customHeight="1" x14ac:dyDescent="0.2">
      <c r="A31" s="104"/>
      <c r="B31" s="104"/>
      <c r="C31" s="67" t="s">
        <v>747</v>
      </c>
      <c r="D31" s="72" t="s">
        <v>59</v>
      </c>
      <c r="E31" s="13">
        <v>44517</v>
      </c>
      <c r="F31" s="70" t="s">
        <v>169</v>
      </c>
      <c r="G31" s="13">
        <v>44518</v>
      </c>
      <c r="H31" s="71" t="s">
        <v>681</v>
      </c>
      <c r="I31" s="16">
        <v>55</v>
      </c>
      <c r="J31" s="16">
        <v>21</v>
      </c>
      <c r="K31" s="16">
        <v>21</v>
      </c>
      <c r="L31" s="16">
        <v>5</v>
      </c>
      <c r="M31" s="75">
        <v>6.0637499999999998</v>
      </c>
      <c r="N31" s="109">
        <v>6.0637499999999998</v>
      </c>
      <c r="O31" s="58">
        <v>7000</v>
      </c>
      <c r="P31" s="59">
        <f>Table2245789101123456789101112131415161718192021222324252627282930313233343537[[#This Row],[PEMBULATAN]]*O31</f>
        <v>42446.25</v>
      </c>
    </row>
    <row r="32" spans="1:16" ht="26.25" customHeight="1" x14ac:dyDescent="0.2">
      <c r="A32" s="104"/>
      <c r="B32" s="104"/>
      <c r="C32" s="67" t="s">
        <v>748</v>
      </c>
      <c r="D32" s="72" t="s">
        <v>59</v>
      </c>
      <c r="E32" s="13">
        <v>44517</v>
      </c>
      <c r="F32" s="70" t="s">
        <v>169</v>
      </c>
      <c r="G32" s="13">
        <v>44518</v>
      </c>
      <c r="H32" s="71" t="s">
        <v>681</v>
      </c>
      <c r="I32" s="16">
        <v>44</v>
      </c>
      <c r="J32" s="16">
        <v>32</v>
      </c>
      <c r="K32" s="16">
        <v>26</v>
      </c>
      <c r="L32" s="16">
        <v>7</v>
      </c>
      <c r="M32" s="75">
        <v>9.1519999999999992</v>
      </c>
      <c r="N32" s="109">
        <v>9.1519999999999992</v>
      </c>
      <c r="O32" s="58">
        <v>7000</v>
      </c>
      <c r="P32" s="59">
        <f>Table2245789101123456789101112131415161718192021222324252627282930313233343537[[#This Row],[PEMBULATAN]]*O32</f>
        <v>64063.999999999993</v>
      </c>
    </row>
    <row r="33" spans="1:16" ht="26.25" customHeight="1" x14ac:dyDescent="0.2">
      <c r="A33" s="104"/>
      <c r="B33" s="104"/>
      <c r="C33" s="67" t="s">
        <v>749</v>
      </c>
      <c r="D33" s="72" t="s">
        <v>59</v>
      </c>
      <c r="E33" s="13">
        <v>44517</v>
      </c>
      <c r="F33" s="70" t="s">
        <v>169</v>
      </c>
      <c r="G33" s="13">
        <v>44518</v>
      </c>
      <c r="H33" s="71" t="s">
        <v>681</v>
      </c>
      <c r="I33" s="16">
        <v>30</v>
      </c>
      <c r="J33" s="16">
        <v>20</v>
      </c>
      <c r="K33" s="16">
        <v>21</v>
      </c>
      <c r="L33" s="16">
        <v>7</v>
      </c>
      <c r="M33" s="75">
        <v>3.15</v>
      </c>
      <c r="N33" s="109">
        <v>7</v>
      </c>
      <c r="O33" s="58">
        <v>7000</v>
      </c>
      <c r="P33" s="59">
        <f>Table2245789101123456789101112131415161718192021222324252627282930313233343537[[#This Row],[PEMBULATAN]]*O33</f>
        <v>49000</v>
      </c>
    </row>
    <row r="34" spans="1:16" ht="26.25" customHeight="1" x14ac:dyDescent="0.2">
      <c r="A34" s="104"/>
      <c r="B34" s="104"/>
      <c r="C34" s="67" t="s">
        <v>750</v>
      </c>
      <c r="D34" s="72" t="s">
        <v>59</v>
      </c>
      <c r="E34" s="13">
        <v>44517</v>
      </c>
      <c r="F34" s="70" t="s">
        <v>169</v>
      </c>
      <c r="G34" s="13">
        <v>44518</v>
      </c>
      <c r="H34" s="71" t="s">
        <v>681</v>
      </c>
      <c r="I34" s="16">
        <v>47</v>
      </c>
      <c r="J34" s="16">
        <v>42</v>
      </c>
      <c r="K34" s="16">
        <v>21</v>
      </c>
      <c r="L34" s="16">
        <v>11</v>
      </c>
      <c r="M34" s="75">
        <v>10.3635</v>
      </c>
      <c r="N34" s="109">
        <v>12</v>
      </c>
      <c r="O34" s="58">
        <v>7000</v>
      </c>
      <c r="P34" s="59">
        <f>Table2245789101123456789101112131415161718192021222324252627282930313233343537[[#This Row],[PEMBULATAN]]*O34</f>
        <v>84000</v>
      </c>
    </row>
    <row r="35" spans="1:16" ht="26.25" customHeight="1" x14ac:dyDescent="0.2">
      <c r="A35" s="104"/>
      <c r="B35" s="104"/>
      <c r="C35" s="67" t="s">
        <v>751</v>
      </c>
      <c r="D35" s="72" t="s">
        <v>59</v>
      </c>
      <c r="E35" s="13">
        <v>44517</v>
      </c>
      <c r="F35" s="70" t="s">
        <v>169</v>
      </c>
      <c r="G35" s="13">
        <v>44518</v>
      </c>
      <c r="H35" s="71" t="s">
        <v>681</v>
      </c>
      <c r="I35" s="16">
        <v>40</v>
      </c>
      <c r="J35" s="16">
        <v>36</v>
      </c>
      <c r="K35" s="16">
        <v>36</v>
      </c>
      <c r="L35" s="16">
        <v>6</v>
      </c>
      <c r="M35" s="75">
        <v>12.96</v>
      </c>
      <c r="N35" s="109">
        <v>12.96</v>
      </c>
      <c r="O35" s="58">
        <v>7000</v>
      </c>
      <c r="P35" s="59">
        <f>Table2245789101123456789101112131415161718192021222324252627282930313233343537[[#This Row],[PEMBULATAN]]*O35</f>
        <v>90720</v>
      </c>
    </row>
    <row r="36" spans="1:16" ht="26.25" customHeight="1" x14ac:dyDescent="0.2">
      <c r="A36" s="104"/>
      <c r="B36" s="104"/>
      <c r="C36" s="92" t="s">
        <v>752</v>
      </c>
      <c r="D36" s="106" t="s">
        <v>59</v>
      </c>
      <c r="E36" s="93">
        <v>44517</v>
      </c>
      <c r="F36" s="106" t="s">
        <v>169</v>
      </c>
      <c r="G36" s="93">
        <v>44518</v>
      </c>
      <c r="H36" s="92" t="s">
        <v>681</v>
      </c>
      <c r="I36" s="92">
        <v>77</v>
      </c>
      <c r="J36" s="92">
        <v>44</v>
      </c>
      <c r="K36" s="92">
        <v>50</v>
      </c>
      <c r="L36" s="92">
        <v>20</v>
      </c>
      <c r="M36" s="92">
        <v>42.35</v>
      </c>
      <c r="N36" s="109">
        <v>43</v>
      </c>
      <c r="O36" s="58">
        <v>7000</v>
      </c>
      <c r="P36" s="59">
        <f>Table2245789101123456789101112131415161718192021222324252627282930313233343537[[#This Row],[PEMBULATAN]]*O36</f>
        <v>301000</v>
      </c>
    </row>
    <row r="37" spans="1:16" ht="26.25" customHeight="1" x14ac:dyDescent="0.2">
      <c r="A37" s="104"/>
      <c r="B37" s="104"/>
      <c r="C37" s="92" t="s">
        <v>753</v>
      </c>
      <c r="D37" s="106" t="s">
        <v>59</v>
      </c>
      <c r="E37" s="93">
        <v>44517</v>
      </c>
      <c r="F37" s="106" t="s">
        <v>169</v>
      </c>
      <c r="G37" s="93">
        <v>44518</v>
      </c>
      <c r="H37" s="92" t="s">
        <v>681</v>
      </c>
      <c r="I37" s="92">
        <v>61</v>
      </c>
      <c r="J37" s="92">
        <v>49</v>
      </c>
      <c r="K37" s="92">
        <v>49</v>
      </c>
      <c r="L37" s="92">
        <v>25</v>
      </c>
      <c r="M37" s="92">
        <v>36.615250000000003</v>
      </c>
      <c r="N37" s="109">
        <v>36.615250000000003</v>
      </c>
      <c r="O37" s="58">
        <v>7000</v>
      </c>
      <c r="P37" s="59">
        <f>Table2245789101123456789101112131415161718192021222324252627282930313233343537[[#This Row],[PEMBULATAN]]*O37</f>
        <v>256306.75000000003</v>
      </c>
    </row>
    <row r="38" spans="1:16" ht="26.25" customHeight="1" x14ac:dyDescent="0.2">
      <c r="A38" s="104"/>
      <c r="B38" s="104"/>
      <c r="C38" s="92" t="s">
        <v>754</v>
      </c>
      <c r="D38" s="106" t="s">
        <v>59</v>
      </c>
      <c r="E38" s="93">
        <v>44517</v>
      </c>
      <c r="F38" s="106" t="s">
        <v>169</v>
      </c>
      <c r="G38" s="93">
        <v>44518</v>
      </c>
      <c r="H38" s="92" t="s">
        <v>681</v>
      </c>
      <c r="I38" s="92">
        <v>133</v>
      </c>
      <c r="J38" s="92">
        <v>30</v>
      </c>
      <c r="K38" s="92">
        <v>36</v>
      </c>
      <c r="L38" s="92">
        <v>20</v>
      </c>
      <c r="M38" s="92">
        <v>35.909999999999997</v>
      </c>
      <c r="N38" s="109">
        <v>35.909999999999997</v>
      </c>
      <c r="O38" s="58">
        <v>7000</v>
      </c>
      <c r="P38" s="59">
        <f>Table2245789101123456789101112131415161718192021222324252627282930313233343537[[#This Row],[PEMBULATAN]]*O38</f>
        <v>251369.99999999997</v>
      </c>
    </row>
    <row r="39" spans="1:16" ht="26.25" customHeight="1" x14ac:dyDescent="0.2">
      <c r="A39" s="104"/>
      <c r="B39" s="104"/>
      <c r="C39" s="92" t="s">
        <v>755</v>
      </c>
      <c r="D39" s="106" t="s">
        <v>59</v>
      </c>
      <c r="E39" s="93">
        <v>44517</v>
      </c>
      <c r="F39" s="106" t="s">
        <v>169</v>
      </c>
      <c r="G39" s="93">
        <v>44518</v>
      </c>
      <c r="H39" s="92" t="s">
        <v>681</v>
      </c>
      <c r="I39" s="92">
        <v>64</v>
      </c>
      <c r="J39" s="92">
        <v>64</v>
      </c>
      <c r="K39" s="92">
        <v>15</v>
      </c>
      <c r="L39" s="92">
        <v>9</v>
      </c>
      <c r="M39" s="92">
        <v>15.36</v>
      </c>
      <c r="N39" s="109">
        <v>16</v>
      </c>
      <c r="O39" s="58">
        <v>7000</v>
      </c>
      <c r="P39" s="59">
        <f>Table2245789101123456789101112131415161718192021222324252627282930313233343537[[#This Row],[PEMBULATAN]]*O39</f>
        <v>112000</v>
      </c>
    </row>
    <row r="40" spans="1:16" ht="26.25" customHeight="1" x14ac:dyDescent="0.2">
      <c r="A40" s="104"/>
      <c r="B40" s="105"/>
      <c r="C40" s="92" t="s">
        <v>756</v>
      </c>
      <c r="D40" s="106" t="s">
        <v>59</v>
      </c>
      <c r="E40" s="93">
        <v>44517</v>
      </c>
      <c r="F40" s="106" t="s">
        <v>169</v>
      </c>
      <c r="G40" s="93">
        <v>44518</v>
      </c>
      <c r="H40" s="92" t="s">
        <v>681</v>
      </c>
      <c r="I40" s="92">
        <v>49</v>
      </c>
      <c r="J40" s="92">
        <v>44</v>
      </c>
      <c r="K40" s="92">
        <v>31</v>
      </c>
      <c r="L40" s="92">
        <v>10</v>
      </c>
      <c r="M40" s="92">
        <v>16.709</v>
      </c>
      <c r="N40" s="109">
        <v>16.709</v>
      </c>
      <c r="O40" s="58">
        <v>7000</v>
      </c>
      <c r="P40" s="59">
        <f>Table2245789101123456789101112131415161718192021222324252627282930313233343537[[#This Row],[PEMBULATAN]]*O40</f>
        <v>116963</v>
      </c>
    </row>
    <row r="41" spans="1:16" ht="26.25" customHeight="1" x14ac:dyDescent="0.2">
      <c r="A41" s="104"/>
      <c r="B41" s="104" t="s">
        <v>757</v>
      </c>
      <c r="C41" s="92" t="s">
        <v>758</v>
      </c>
      <c r="D41" s="106" t="s">
        <v>59</v>
      </c>
      <c r="E41" s="93">
        <v>44517</v>
      </c>
      <c r="F41" s="106" t="s">
        <v>169</v>
      </c>
      <c r="G41" s="93">
        <v>44518</v>
      </c>
      <c r="H41" s="92" t="s">
        <v>681</v>
      </c>
      <c r="I41" s="92">
        <v>68</v>
      </c>
      <c r="J41" s="92">
        <v>57</v>
      </c>
      <c r="K41" s="92">
        <v>25</v>
      </c>
      <c r="L41" s="92">
        <v>5</v>
      </c>
      <c r="M41" s="92">
        <v>24.225000000000001</v>
      </c>
      <c r="N41" s="109">
        <v>24.225000000000001</v>
      </c>
      <c r="O41" s="58">
        <v>7000</v>
      </c>
      <c r="P41" s="59">
        <f>Table2245789101123456789101112131415161718192021222324252627282930313233343537[[#This Row],[PEMBULATAN]]*O41</f>
        <v>169575</v>
      </c>
    </row>
    <row r="42" spans="1:16" ht="26.25" customHeight="1" x14ac:dyDescent="0.2">
      <c r="A42" s="104"/>
      <c r="B42" s="104"/>
      <c r="C42" s="92" t="s">
        <v>759</v>
      </c>
      <c r="D42" s="106" t="s">
        <v>59</v>
      </c>
      <c r="E42" s="93">
        <v>44517</v>
      </c>
      <c r="F42" s="106" t="s">
        <v>169</v>
      </c>
      <c r="G42" s="93">
        <v>44518</v>
      </c>
      <c r="H42" s="92" t="s">
        <v>681</v>
      </c>
      <c r="I42" s="92">
        <v>51</v>
      </c>
      <c r="J42" s="92">
        <v>32</v>
      </c>
      <c r="K42" s="92">
        <v>26</v>
      </c>
      <c r="L42" s="92">
        <v>16</v>
      </c>
      <c r="M42" s="92">
        <v>10.608000000000001</v>
      </c>
      <c r="N42" s="109">
        <v>16</v>
      </c>
      <c r="O42" s="58">
        <v>7000</v>
      </c>
      <c r="P42" s="59">
        <f>Table2245789101123456789101112131415161718192021222324252627282930313233343537[[#This Row],[PEMBULATAN]]*O42</f>
        <v>112000</v>
      </c>
    </row>
    <row r="43" spans="1:16" ht="26.25" customHeight="1" x14ac:dyDescent="0.2">
      <c r="A43" s="104"/>
      <c r="B43" s="104"/>
      <c r="C43" s="92" t="s">
        <v>760</v>
      </c>
      <c r="D43" s="106" t="s">
        <v>59</v>
      </c>
      <c r="E43" s="93">
        <v>44517</v>
      </c>
      <c r="F43" s="106" t="s">
        <v>169</v>
      </c>
      <c r="G43" s="93">
        <v>44518</v>
      </c>
      <c r="H43" s="92" t="s">
        <v>681</v>
      </c>
      <c r="I43" s="92">
        <v>50</v>
      </c>
      <c r="J43" s="92">
        <v>38</v>
      </c>
      <c r="K43" s="92">
        <v>31</v>
      </c>
      <c r="L43" s="92">
        <v>12</v>
      </c>
      <c r="M43" s="92">
        <v>14.725</v>
      </c>
      <c r="N43" s="109">
        <v>14.725</v>
      </c>
      <c r="O43" s="58">
        <v>7000</v>
      </c>
      <c r="P43" s="59">
        <f>Table2245789101123456789101112131415161718192021222324252627282930313233343537[[#This Row],[PEMBULATAN]]*O43</f>
        <v>103075</v>
      </c>
    </row>
    <row r="44" spans="1:16" ht="26.25" customHeight="1" x14ac:dyDescent="0.2">
      <c r="A44" s="104"/>
      <c r="B44" s="104"/>
      <c r="C44" s="92" t="s">
        <v>761</v>
      </c>
      <c r="D44" s="106" t="s">
        <v>59</v>
      </c>
      <c r="E44" s="93">
        <v>44517</v>
      </c>
      <c r="F44" s="106" t="s">
        <v>169</v>
      </c>
      <c r="G44" s="93">
        <v>44518</v>
      </c>
      <c r="H44" s="92" t="s">
        <v>681</v>
      </c>
      <c r="I44" s="92">
        <v>50</v>
      </c>
      <c r="J44" s="92">
        <v>28</v>
      </c>
      <c r="K44" s="92">
        <v>26</v>
      </c>
      <c r="L44" s="92">
        <v>16</v>
      </c>
      <c r="M44" s="92">
        <v>9.1</v>
      </c>
      <c r="N44" s="109">
        <v>16</v>
      </c>
      <c r="O44" s="58">
        <v>7000</v>
      </c>
      <c r="P44" s="59">
        <f>Table2245789101123456789101112131415161718192021222324252627282930313233343537[[#This Row],[PEMBULATAN]]*O44</f>
        <v>112000</v>
      </c>
    </row>
    <row r="45" spans="1:16" ht="26.25" customHeight="1" x14ac:dyDescent="0.2">
      <c r="A45" s="104"/>
      <c r="B45" s="104"/>
      <c r="C45" s="92" t="s">
        <v>762</v>
      </c>
      <c r="D45" s="106" t="s">
        <v>59</v>
      </c>
      <c r="E45" s="93">
        <v>44517</v>
      </c>
      <c r="F45" s="106" t="s">
        <v>169</v>
      </c>
      <c r="G45" s="93">
        <v>44518</v>
      </c>
      <c r="H45" s="92" t="s">
        <v>681</v>
      </c>
      <c r="I45" s="92">
        <v>50</v>
      </c>
      <c r="J45" s="92">
        <v>28</v>
      </c>
      <c r="K45" s="92">
        <v>30</v>
      </c>
      <c r="L45" s="92">
        <v>16</v>
      </c>
      <c r="M45" s="92">
        <v>10.5</v>
      </c>
      <c r="N45" s="109">
        <v>16</v>
      </c>
      <c r="O45" s="58">
        <v>7000</v>
      </c>
      <c r="P45" s="59">
        <f>Table2245789101123456789101112131415161718192021222324252627282930313233343537[[#This Row],[PEMBULATAN]]*O45</f>
        <v>112000</v>
      </c>
    </row>
    <row r="46" spans="1:16" ht="26.25" customHeight="1" x14ac:dyDescent="0.2">
      <c r="A46" s="104"/>
      <c r="B46" s="104"/>
      <c r="C46" s="92" t="s">
        <v>763</v>
      </c>
      <c r="D46" s="106" t="s">
        <v>59</v>
      </c>
      <c r="E46" s="93">
        <v>44517</v>
      </c>
      <c r="F46" s="106" t="s">
        <v>169</v>
      </c>
      <c r="G46" s="93">
        <v>44518</v>
      </c>
      <c r="H46" s="92" t="s">
        <v>681</v>
      </c>
      <c r="I46" s="92">
        <v>62</v>
      </c>
      <c r="J46" s="92">
        <v>35</v>
      </c>
      <c r="K46" s="92">
        <v>21</v>
      </c>
      <c r="L46" s="92">
        <v>7</v>
      </c>
      <c r="M46" s="92">
        <v>11.3925</v>
      </c>
      <c r="N46" s="109">
        <v>12</v>
      </c>
      <c r="O46" s="58">
        <v>7000</v>
      </c>
      <c r="P46" s="59">
        <f>Table2245789101123456789101112131415161718192021222324252627282930313233343537[[#This Row],[PEMBULATAN]]*O46</f>
        <v>84000</v>
      </c>
    </row>
    <row r="47" spans="1:16" ht="26.25" customHeight="1" x14ac:dyDescent="0.2">
      <c r="A47" s="104"/>
      <c r="B47" s="104"/>
      <c r="C47" s="92" t="s">
        <v>764</v>
      </c>
      <c r="D47" s="106" t="s">
        <v>59</v>
      </c>
      <c r="E47" s="93">
        <v>44517</v>
      </c>
      <c r="F47" s="106" t="s">
        <v>169</v>
      </c>
      <c r="G47" s="93">
        <v>44518</v>
      </c>
      <c r="H47" s="92" t="s">
        <v>681</v>
      </c>
      <c r="I47" s="92">
        <v>30</v>
      </c>
      <c r="J47" s="92">
        <v>21</v>
      </c>
      <c r="K47" s="92">
        <v>16</v>
      </c>
      <c r="L47" s="92">
        <v>2</v>
      </c>
      <c r="M47" s="92">
        <v>2.52</v>
      </c>
      <c r="N47" s="109">
        <v>2.52</v>
      </c>
      <c r="O47" s="58">
        <v>7000</v>
      </c>
      <c r="P47" s="59">
        <f>Table2245789101123456789101112131415161718192021222324252627282930313233343537[[#This Row],[PEMBULATAN]]*O47</f>
        <v>17640</v>
      </c>
    </row>
    <row r="48" spans="1:16" ht="26.25" customHeight="1" x14ac:dyDescent="0.2">
      <c r="A48" s="104"/>
      <c r="B48" s="104"/>
      <c r="C48" s="92" t="s">
        <v>765</v>
      </c>
      <c r="D48" s="106" t="s">
        <v>59</v>
      </c>
      <c r="E48" s="93">
        <v>44517</v>
      </c>
      <c r="F48" s="106" t="s">
        <v>169</v>
      </c>
      <c r="G48" s="93">
        <v>44518</v>
      </c>
      <c r="H48" s="92" t="s">
        <v>681</v>
      </c>
      <c r="I48" s="92">
        <v>52</v>
      </c>
      <c r="J48" s="92">
        <v>32</v>
      </c>
      <c r="K48" s="92">
        <v>26</v>
      </c>
      <c r="L48" s="92">
        <v>16</v>
      </c>
      <c r="M48" s="92">
        <v>10.816000000000001</v>
      </c>
      <c r="N48" s="109">
        <v>16</v>
      </c>
      <c r="O48" s="58">
        <v>7000</v>
      </c>
      <c r="P48" s="59">
        <f>Table2245789101123456789101112131415161718192021222324252627282930313233343537[[#This Row],[PEMBULATAN]]*O48</f>
        <v>112000</v>
      </c>
    </row>
    <row r="49" spans="1:16" ht="26.25" customHeight="1" x14ac:dyDescent="0.2">
      <c r="A49" s="104"/>
      <c r="B49" s="104"/>
      <c r="C49" s="92" t="s">
        <v>766</v>
      </c>
      <c r="D49" s="106" t="s">
        <v>59</v>
      </c>
      <c r="E49" s="93">
        <v>44517</v>
      </c>
      <c r="F49" s="106" t="s">
        <v>169</v>
      </c>
      <c r="G49" s="93">
        <v>44518</v>
      </c>
      <c r="H49" s="92" t="s">
        <v>681</v>
      </c>
      <c r="I49" s="92">
        <v>75</v>
      </c>
      <c r="J49" s="92">
        <v>38</v>
      </c>
      <c r="K49" s="92">
        <v>28</v>
      </c>
      <c r="L49" s="92">
        <v>10</v>
      </c>
      <c r="M49" s="92">
        <v>19.95</v>
      </c>
      <c r="N49" s="109">
        <v>19.95</v>
      </c>
      <c r="O49" s="58">
        <v>7000</v>
      </c>
      <c r="P49" s="59">
        <f>Table2245789101123456789101112131415161718192021222324252627282930313233343537[[#This Row],[PEMBULATAN]]*O49</f>
        <v>139650</v>
      </c>
    </row>
    <row r="50" spans="1:16" ht="26.25" customHeight="1" x14ac:dyDescent="0.2">
      <c r="A50" s="104"/>
      <c r="B50" s="104"/>
      <c r="C50" s="92" t="s">
        <v>767</v>
      </c>
      <c r="D50" s="106" t="s">
        <v>59</v>
      </c>
      <c r="E50" s="93">
        <v>44517</v>
      </c>
      <c r="F50" s="106" t="s">
        <v>169</v>
      </c>
      <c r="G50" s="93">
        <v>44518</v>
      </c>
      <c r="H50" s="92" t="s">
        <v>681</v>
      </c>
      <c r="I50" s="92">
        <v>106</v>
      </c>
      <c r="J50" s="92">
        <v>55</v>
      </c>
      <c r="K50" s="92">
        <v>32</v>
      </c>
      <c r="L50" s="92">
        <v>35</v>
      </c>
      <c r="M50" s="92">
        <v>46.64</v>
      </c>
      <c r="N50" s="109">
        <v>46.64</v>
      </c>
      <c r="O50" s="58">
        <v>7000</v>
      </c>
      <c r="P50" s="59">
        <f>Table2245789101123456789101112131415161718192021222324252627282930313233343537[[#This Row],[PEMBULATAN]]*O50</f>
        <v>326480</v>
      </c>
    </row>
    <row r="51" spans="1:16" ht="26.25" customHeight="1" x14ac:dyDescent="0.2">
      <c r="A51" s="104"/>
      <c r="B51" s="105"/>
      <c r="C51" s="92" t="s">
        <v>768</v>
      </c>
      <c r="D51" s="106" t="s">
        <v>59</v>
      </c>
      <c r="E51" s="93">
        <v>44517</v>
      </c>
      <c r="F51" s="106" t="s">
        <v>169</v>
      </c>
      <c r="G51" s="93">
        <v>44518</v>
      </c>
      <c r="H51" s="92" t="s">
        <v>681</v>
      </c>
      <c r="I51" s="92">
        <v>98</v>
      </c>
      <c r="J51" s="92">
        <v>59</v>
      </c>
      <c r="K51" s="92">
        <v>41</v>
      </c>
      <c r="L51" s="92">
        <v>39</v>
      </c>
      <c r="M51" s="92">
        <v>59.265500000000003</v>
      </c>
      <c r="N51" s="109">
        <v>59.265500000000003</v>
      </c>
      <c r="O51" s="58">
        <v>7000</v>
      </c>
      <c r="P51" s="59">
        <f>Table2245789101123456789101112131415161718192021222324252627282930313233343537[[#This Row],[PEMBULATAN]]*O51</f>
        <v>414858.5</v>
      </c>
    </row>
    <row r="52" spans="1:16" ht="26.25" customHeight="1" x14ac:dyDescent="0.2">
      <c r="A52" s="104"/>
      <c r="B52" s="104" t="s">
        <v>769</v>
      </c>
      <c r="C52" s="92" t="s">
        <v>770</v>
      </c>
      <c r="D52" s="106" t="s">
        <v>59</v>
      </c>
      <c r="E52" s="93">
        <v>44517</v>
      </c>
      <c r="F52" s="106" t="s">
        <v>169</v>
      </c>
      <c r="G52" s="93">
        <v>44518</v>
      </c>
      <c r="H52" s="92" t="s">
        <v>681</v>
      </c>
      <c r="I52" s="92">
        <v>23</v>
      </c>
      <c r="J52" s="92">
        <v>15</v>
      </c>
      <c r="K52" s="92">
        <v>12</v>
      </c>
      <c r="L52" s="92">
        <v>4</v>
      </c>
      <c r="M52" s="92">
        <v>1.0349999999999999</v>
      </c>
      <c r="N52" s="109">
        <v>4</v>
      </c>
      <c r="O52" s="58">
        <v>7000</v>
      </c>
      <c r="P52" s="59">
        <f>Table2245789101123456789101112131415161718192021222324252627282930313233343537[[#This Row],[PEMBULATAN]]*O52</f>
        <v>28000</v>
      </c>
    </row>
    <row r="53" spans="1:16" ht="26.25" customHeight="1" x14ac:dyDescent="0.2">
      <c r="A53" s="104"/>
      <c r="B53" s="104"/>
      <c r="C53" s="92" t="s">
        <v>771</v>
      </c>
      <c r="D53" s="106" t="s">
        <v>59</v>
      </c>
      <c r="E53" s="93">
        <v>44517</v>
      </c>
      <c r="F53" s="106" t="s">
        <v>169</v>
      </c>
      <c r="G53" s="93">
        <v>44518</v>
      </c>
      <c r="H53" s="92" t="s">
        <v>681</v>
      </c>
      <c r="I53" s="92">
        <v>23</v>
      </c>
      <c r="J53" s="92">
        <v>15</v>
      </c>
      <c r="K53" s="92">
        <v>12</v>
      </c>
      <c r="L53" s="92">
        <v>4</v>
      </c>
      <c r="M53" s="92">
        <v>1.0349999999999999</v>
      </c>
      <c r="N53" s="109">
        <v>4</v>
      </c>
      <c r="O53" s="58">
        <v>7000</v>
      </c>
      <c r="P53" s="59">
        <f>Table2245789101123456789101112131415161718192021222324252627282930313233343537[[#This Row],[PEMBULATAN]]*O53</f>
        <v>28000</v>
      </c>
    </row>
    <row r="54" spans="1:16" ht="26.25" customHeight="1" x14ac:dyDescent="0.2">
      <c r="A54" s="104"/>
      <c r="B54" s="104"/>
      <c r="C54" s="92" t="s">
        <v>772</v>
      </c>
      <c r="D54" s="106" t="s">
        <v>59</v>
      </c>
      <c r="E54" s="93">
        <v>44517</v>
      </c>
      <c r="F54" s="106" t="s">
        <v>169</v>
      </c>
      <c r="G54" s="93">
        <v>44518</v>
      </c>
      <c r="H54" s="92" t="s">
        <v>681</v>
      </c>
      <c r="I54" s="92">
        <v>68</v>
      </c>
      <c r="J54" s="92">
        <v>42</v>
      </c>
      <c r="K54" s="92">
        <v>39</v>
      </c>
      <c r="L54" s="92">
        <v>4</v>
      </c>
      <c r="M54" s="92">
        <v>27.846</v>
      </c>
      <c r="N54" s="109">
        <v>27.846</v>
      </c>
      <c r="O54" s="58">
        <v>7000</v>
      </c>
      <c r="P54" s="59">
        <f>Table2245789101123456789101112131415161718192021222324252627282930313233343537[[#This Row],[PEMBULATAN]]*O54</f>
        <v>194922</v>
      </c>
    </row>
    <row r="55" spans="1:16" ht="26.25" customHeight="1" x14ac:dyDescent="0.2">
      <c r="A55" s="104"/>
      <c r="B55" s="104"/>
      <c r="C55" s="92" t="s">
        <v>773</v>
      </c>
      <c r="D55" s="106" t="s">
        <v>59</v>
      </c>
      <c r="E55" s="93">
        <v>44517</v>
      </c>
      <c r="F55" s="106" t="s">
        <v>169</v>
      </c>
      <c r="G55" s="93">
        <v>44518</v>
      </c>
      <c r="H55" s="92" t="s">
        <v>681</v>
      </c>
      <c r="I55" s="92">
        <v>48</v>
      </c>
      <c r="J55" s="92">
        <v>64</v>
      </c>
      <c r="K55" s="92">
        <v>82</v>
      </c>
      <c r="L55" s="92">
        <v>23</v>
      </c>
      <c r="M55" s="92">
        <v>62.975999999999999</v>
      </c>
      <c r="N55" s="109">
        <v>62.975999999999999</v>
      </c>
      <c r="O55" s="58">
        <v>7000</v>
      </c>
      <c r="P55" s="59">
        <f>Table2245789101123456789101112131415161718192021222324252627282930313233343537[[#This Row],[PEMBULATAN]]*O55</f>
        <v>440832</v>
      </c>
    </row>
    <row r="56" spans="1:16" ht="26.25" customHeight="1" x14ac:dyDescent="0.2">
      <c r="A56" s="104"/>
      <c r="B56" s="104"/>
      <c r="C56" s="92" t="s">
        <v>774</v>
      </c>
      <c r="D56" s="106" t="s">
        <v>59</v>
      </c>
      <c r="E56" s="93">
        <v>44517</v>
      </c>
      <c r="F56" s="106" t="s">
        <v>169</v>
      </c>
      <c r="G56" s="93">
        <v>44518</v>
      </c>
      <c r="H56" s="92" t="s">
        <v>681</v>
      </c>
      <c r="I56" s="92">
        <v>48</v>
      </c>
      <c r="J56" s="92">
        <v>64</v>
      </c>
      <c r="K56" s="92">
        <v>82</v>
      </c>
      <c r="L56" s="92">
        <v>23</v>
      </c>
      <c r="M56" s="92">
        <v>62.975999999999999</v>
      </c>
      <c r="N56" s="109">
        <v>62.975999999999999</v>
      </c>
      <c r="O56" s="58">
        <v>7000</v>
      </c>
      <c r="P56" s="59">
        <f>Table2245789101123456789101112131415161718192021222324252627282930313233343537[[#This Row],[PEMBULATAN]]*O56</f>
        <v>440832</v>
      </c>
    </row>
    <row r="57" spans="1:16" ht="26.25" customHeight="1" x14ac:dyDescent="0.2">
      <c r="A57" s="104"/>
      <c r="B57" s="104"/>
      <c r="C57" s="92" t="s">
        <v>775</v>
      </c>
      <c r="D57" s="106" t="s">
        <v>59</v>
      </c>
      <c r="E57" s="93">
        <v>44517</v>
      </c>
      <c r="F57" s="106" t="s">
        <v>169</v>
      </c>
      <c r="G57" s="93">
        <v>44518</v>
      </c>
      <c r="H57" s="92" t="s">
        <v>681</v>
      </c>
      <c r="I57" s="92">
        <v>43</v>
      </c>
      <c r="J57" s="92">
        <v>55</v>
      </c>
      <c r="K57" s="92">
        <v>82</v>
      </c>
      <c r="L57" s="92">
        <v>23</v>
      </c>
      <c r="M57" s="92">
        <v>48.482500000000002</v>
      </c>
      <c r="N57" s="109">
        <v>48.482500000000002</v>
      </c>
      <c r="O57" s="58">
        <v>7000</v>
      </c>
      <c r="P57" s="59">
        <f>Table2245789101123456789101112131415161718192021222324252627282930313233343537[[#This Row],[PEMBULATAN]]*O57</f>
        <v>339377.5</v>
      </c>
    </row>
    <row r="58" spans="1:16" ht="26.25" customHeight="1" x14ac:dyDescent="0.2">
      <c r="A58" s="104"/>
      <c r="B58" s="104"/>
      <c r="C58" s="92" t="s">
        <v>776</v>
      </c>
      <c r="D58" s="106" t="s">
        <v>59</v>
      </c>
      <c r="E58" s="93">
        <v>44517</v>
      </c>
      <c r="F58" s="106" t="s">
        <v>169</v>
      </c>
      <c r="G58" s="93">
        <v>44518</v>
      </c>
      <c r="H58" s="92" t="s">
        <v>681</v>
      </c>
      <c r="I58" s="92">
        <v>60</v>
      </c>
      <c r="J58" s="92">
        <v>48</v>
      </c>
      <c r="K58" s="92">
        <v>33</v>
      </c>
      <c r="L58" s="92">
        <v>9</v>
      </c>
      <c r="M58" s="92">
        <v>23.76</v>
      </c>
      <c r="N58" s="109">
        <v>23.76</v>
      </c>
      <c r="O58" s="58">
        <v>7000</v>
      </c>
      <c r="P58" s="59">
        <f>Table2245789101123456789101112131415161718192021222324252627282930313233343537[[#This Row],[PEMBULATAN]]*O58</f>
        <v>166320</v>
      </c>
    </row>
    <row r="59" spans="1:16" ht="26.25" customHeight="1" x14ac:dyDescent="0.2">
      <c r="A59" s="104"/>
      <c r="B59" s="105"/>
      <c r="C59" s="92" t="s">
        <v>777</v>
      </c>
      <c r="D59" s="106" t="s">
        <v>59</v>
      </c>
      <c r="E59" s="93">
        <v>44517</v>
      </c>
      <c r="F59" s="106" t="s">
        <v>169</v>
      </c>
      <c r="G59" s="93">
        <v>44518</v>
      </c>
      <c r="H59" s="92" t="s">
        <v>681</v>
      </c>
      <c r="I59" s="92">
        <v>55</v>
      </c>
      <c r="J59" s="92">
        <v>36</v>
      </c>
      <c r="K59" s="92">
        <v>18</v>
      </c>
      <c r="L59" s="92">
        <v>4</v>
      </c>
      <c r="M59" s="92">
        <v>8.91</v>
      </c>
      <c r="N59" s="109">
        <v>8.91</v>
      </c>
      <c r="O59" s="58">
        <v>7000</v>
      </c>
      <c r="P59" s="59">
        <f>Table2245789101123456789101112131415161718192021222324252627282930313233343537[[#This Row],[PEMBULATAN]]*O59</f>
        <v>62370</v>
      </c>
    </row>
    <row r="60" spans="1:16" ht="22.5" customHeight="1" x14ac:dyDescent="0.2">
      <c r="A60" s="145" t="s">
        <v>30</v>
      </c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7"/>
      <c r="M60" s="73">
        <f>SUBTOTAL(109,Table2245789101123456789101112131415161718192021222324252627282930313233343537[KG VOLUME])</f>
        <v>1151.0705000000003</v>
      </c>
      <c r="N60" s="62">
        <f>SUM(N3:N59)</f>
        <v>1225.3450000000003</v>
      </c>
      <c r="O60" s="148">
        <f>SUM(P3:P59)</f>
        <v>8577415</v>
      </c>
      <c r="P60" s="149"/>
    </row>
    <row r="61" spans="1:16" ht="18" customHeight="1" x14ac:dyDescent="0.2">
      <c r="A61" s="80"/>
      <c r="B61" s="50" t="s">
        <v>42</v>
      </c>
      <c r="C61" s="49"/>
      <c r="D61" s="51" t="s">
        <v>43</v>
      </c>
      <c r="E61" s="80"/>
      <c r="F61" s="80"/>
      <c r="G61" s="80"/>
      <c r="H61" s="80"/>
      <c r="I61" s="80"/>
      <c r="J61" s="80"/>
      <c r="K61" s="80"/>
      <c r="L61" s="80"/>
      <c r="M61" s="81"/>
      <c r="N61" s="82" t="s">
        <v>52</v>
      </c>
      <c r="O61" s="83"/>
      <c r="P61" s="83">
        <v>0</v>
      </c>
    </row>
    <row r="62" spans="1:16" ht="18" customHeight="1" thickBot="1" x14ac:dyDescent="0.25">
      <c r="A62" s="80"/>
      <c r="B62" s="50"/>
      <c r="C62" s="49"/>
      <c r="D62" s="51"/>
      <c r="E62" s="80"/>
      <c r="F62" s="80"/>
      <c r="G62" s="80"/>
      <c r="H62" s="80"/>
      <c r="I62" s="80"/>
      <c r="J62" s="80"/>
      <c r="K62" s="80"/>
      <c r="L62" s="80"/>
      <c r="M62" s="81"/>
      <c r="N62" s="84" t="s">
        <v>53</v>
      </c>
      <c r="O62" s="85"/>
      <c r="P62" s="85">
        <f>O60-P61</f>
        <v>8577415</v>
      </c>
    </row>
    <row r="63" spans="1:16" ht="18" customHeight="1" x14ac:dyDescent="0.2">
      <c r="A63" s="11"/>
      <c r="H63" s="57"/>
      <c r="N63" s="56" t="s">
        <v>31</v>
      </c>
      <c r="P63" s="63">
        <f>P62*1%</f>
        <v>85774.150000000009</v>
      </c>
    </row>
    <row r="64" spans="1:16" ht="18" customHeight="1" thickBot="1" x14ac:dyDescent="0.25">
      <c r="A64" s="11"/>
      <c r="H64" s="57"/>
      <c r="N64" s="56" t="s">
        <v>54</v>
      </c>
      <c r="P64" s="65">
        <f>P62*2%</f>
        <v>171548.30000000002</v>
      </c>
    </row>
    <row r="65" spans="1:16" ht="18" customHeight="1" x14ac:dyDescent="0.2">
      <c r="A65" s="11"/>
      <c r="H65" s="57"/>
      <c r="N65" s="60" t="s">
        <v>32</v>
      </c>
      <c r="O65" s="61"/>
      <c r="P65" s="64">
        <f>P62+P63-P64</f>
        <v>8491640.8499999996</v>
      </c>
    </row>
    <row r="67" spans="1:16" x14ac:dyDescent="0.2">
      <c r="A67" s="11"/>
      <c r="H67" s="57"/>
      <c r="P67" s="65"/>
    </row>
    <row r="68" spans="1:16" x14ac:dyDescent="0.2">
      <c r="A68" s="11"/>
      <c r="H68" s="57"/>
      <c r="O68" s="52"/>
      <c r="P68" s="65"/>
    </row>
    <row r="69" spans="1:16" s="3" customFormat="1" x14ac:dyDescent="0.25">
      <c r="A69" s="11"/>
      <c r="B69" s="2"/>
      <c r="C69" s="2"/>
      <c r="E69" s="12"/>
      <c r="H69" s="57"/>
      <c r="N69" s="15"/>
      <c r="O69" s="15"/>
      <c r="P69" s="15"/>
    </row>
    <row r="70" spans="1:16" s="3" customFormat="1" x14ac:dyDescent="0.25">
      <c r="A70" s="11"/>
      <c r="B70" s="2"/>
      <c r="C70" s="2"/>
      <c r="E70" s="12"/>
      <c r="H70" s="57"/>
      <c r="N70" s="15"/>
      <c r="O70" s="15"/>
      <c r="P70" s="15"/>
    </row>
    <row r="71" spans="1:16" s="3" customFormat="1" x14ac:dyDescent="0.25">
      <c r="A71" s="11"/>
      <c r="B71" s="2"/>
      <c r="C71" s="2"/>
      <c r="E71" s="12"/>
      <c r="H71" s="57"/>
      <c r="N71" s="15"/>
      <c r="O71" s="15"/>
      <c r="P71" s="15"/>
    </row>
    <row r="72" spans="1:16" s="3" customFormat="1" x14ac:dyDescent="0.25">
      <c r="A72" s="11"/>
      <c r="B72" s="2"/>
      <c r="C72" s="2"/>
      <c r="E72" s="12"/>
      <c r="H72" s="57"/>
      <c r="N72" s="15"/>
      <c r="O72" s="15"/>
      <c r="P72" s="15"/>
    </row>
    <row r="73" spans="1:16" s="3" customFormat="1" x14ac:dyDescent="0.25">
      <c r="A73" s="11"/>
      <c r="B73" s="2"/>
      <c r="C73" s="2"/>
      <c r="E73" s="12"/>
      <c r="H73" s="57"/>
      <c r="N73" s="15"/>
      <c r="O73" s="15"/>
      <c r="P73" s="15"/>
    </row>
    <row r="74" spans="1:16" s="3" customFormat="1" x14ac:dyDescent="0.25">
      <c r="A74" s="11"/>
      <c r="B74" s="2"/>
      <c r="C74" s="2"/>
      <c r="E74" s="12"/>
      <c r="H74" s="57"/>
      <c r="N74" s="15"/>
      <c r="O74" s="15"/>
      <c r="P74" s="15"/>
    </row>
    <row r="75" spans="1:16" s="3" customFormat="1" x14ac:dyDescent="0.25">
      <c r="A75" s="11"/>
      <c r="B75" s="2"/>
      <c r="C75" s="2"/>
      <c r="E75" s="12"/>
      <c r="H75" s="57"/>
      <c r="N75" s="15"/>
      <c r="O75" s="15"/>
      <c r="P75" s="15"/>
    </row>
    <row r="76" spans="1:16" s="3" customFormat="1" x14ac:dyDescent="0.25">
      <c r="A76" s="11"/>
      <c r="B76" s="2"/>
      <c r="C76" s="2"/>
      <c r="E76" s="12"/>
      <c r="H76" s="57"/>
      <c r="N76" s="15"/>
      <c r="O76" s="15"/>
      <c r="P76" s="15"/>
    </row>
    <row r="77" spans="1:16" s="3" customFormat="1" x14ac:dyDescent="0.25">
      <c r="A77" s="11"/>
      <c r="B77" s="2"/>
      <c r="C77" s="2"/>
      <c r="E77" s="12"/>
      <c r="H77" s="57"/>
      <c r="N77" s="15"/>
      <c r="O77" s="15"/>
      <c r="P77" s="15"/>
    </row>
    <row r="78" spans="1:16" s="3" customFormat="1" x14ac:dyDescent="0.25">
      <c r="A78" s="11"/>
      <c r="B78" s="2"/>
      <c r="C78" s="2"/>
      <c r="E78" s="12"/>
      <c r="H78" s="57"/>
      <c r="N78" s="15"/>
      <c r="O78" s="15"/>
      <c r="P78" s="15"/>
    </row>
    <row r="79" spans="1:16" s="3" customFormat="1" x14ac:dyDescent="0.25">
      <c r="A79" s="11"/>
      <c r="B79" s="2"/>
      <c r="C79" s="2"/>
      <c r="E79" s="12"/>
      <c r="H79" s="57"/>
      <c r="N79" s="15"/>
      <c r="O79" s="15"/>
      <c r="P79" s="15"/>
    </row>
    <row r="80" spans="1:16" s="3" customFormat="1" x14ac:dyDescent="0.25">
      <c r="A80" s="11"/>
      <c r="B80" s="2"/>
      <c r="C80" s="2"/>
      <c r="E80" s="12"/>
      <c r="H80" s="57"/>
      <c r="N80" s="15"/>
      <c r="O80" s="15"/>
      <c r="P80" s="15"/>
    </row>
  </sheetData>
  <mergeCells count="2">
    <mergeCell ref="A60:L60"/>
    <mergeCell ref="O60:P60"/>
  </mergeCells>
  <conditionalFormatting sqref="C3:C59">
    <cfRule type="duplicateValues" dxfId="95" priority="14"/>
  </conditionalFormatting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workbookViewId="0">
      <selection activeCell="N13" sqref="N1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2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3">
        <v>403217</v>
      </c>
      <c r="B3" s="103" t="s">
        <v>778</v>
      </c>
      <c r="C3" s="92" t="s">
        <v>779</v>
      </c>
      <c r="D3" s="106" t="s">
        <v>59</v>
      </c>
      <c r="E3" s="93">
        <v>44518</v>
      </c>
      <c r="F3" s="106" t="s">
        <v>169</v>
      </c>
      <c r="G3" s="93">
        <v>44518</v>
      </c>
      <c r="H3" s="92" t="s">
        <v>681</v>
      </c>
      <c r="I3" s="92">
        <v>34</v>
      </c>
      <c r="J3" s="92">
        <v>29</v>
      </c>
      <c r="K3" s="92">
        <v>24</v>
      </c>
      <c r="L3" s="92">
        <v>7</v>
      </c>
      <c r="M3" s="92">
        <v>5.9160000000000004</v>
      </c>
      <c r="N3" s="109">
        <v>7</v>
      </c>
      <c r="O3" s="58">
        <v>7000</v>
      </c>
      <c r="P3" s="59">
        <f>Table224578910112345678910111213141516171819202122232425262728293031323334353738[[#This Row],[PEMBULATAN]]*O3</f>
        <v>49000</v>
      </c>
    </row>
    <row r="4" spans="1:16" ht="26.25" customHeight="1" x14ac:dyDescent="0.2">
      <c r="A4" s="104"/>
      <c r="B4" s="104"/>
      <c r="C4" s="92" t="s">
        <v>780</v>
      </c>
      <c r="D4" s="106" t="s">
        <v>59</v>
      </c>
      <c r="E4" s="93">
        <v>44518</v>
      </c>
      <c r="F4" s="106" t="s">
        <v>169</v>
      </c>
      <c r="G4" s="93">
        <v>44518</v>
      </c>
      <c r="H4" s="92" t="s">
        <v>681</v>
      </c>
      <c r="I4" s="92">
        <v>55</v>
      </c>
      <c r="J4" s="92">
        <v>42</v>
      </c>
      <c r="K4" s="92">
        <v>34</v>
      </c>
      <c r="L4" s="92">
        <v>6</v>
      </c>
      <c r="M4" s="92">
        <v>19.635000000000002</v>
      </c>
      <c r="N4" s="109">
        <v>19.635000000000002</v>
      </c>
      <c r="O4" s="58">
        <v>7000</v>
      </c>
      <c r="P4" s="59">
        <f>Table224578910112345678910111213141516171819202122232425262728293031323334353738[[#This Row],[PEMBULATAN]]*O4</f>
        <v>137445</v>
      </c>
    </row>
    <row r="5" spans="1:16" ht="26.25" customHeight="1" x14ac:dyDescent="0.2">
      <c r="A5" s="104"/>
      <c r="B5" s="104"/>
      <c r="C5" s="92" t="s">
        <v>781</v>
      </c>
      <c r="D5" s="106" t="s">
        <v>59</v>
      </c>
      <c r="E5" s="93">
        <v>44518</v>
      </c>
      <c r="F5" s="106" t="s">
        <v>169</v>
      </c>
      <c r="G5" s="93">
        <v>44518</v>
      </c>
      <c r="H5" s="92" t="s">
        <v>681</v>
      </c>
      <c r="I5" s="92">
        <v>40</v>
      </c>
      <c r="J5" s="92">
        <v>36</v>
      </c>
      <c r="K5" s="92">
        <v>25</v>
      </c>
      <c r="L5" s="92">
        <v>8</v>
      </c>
      <c r="M5" s="92">
        <v>9</v>
      </c>
      <c r="N5" s="109">
        <v>9</v>
      </c>
      <c r="O5" s="58">
        <v>7000</v>
      </c>
      <c r="P5" s="59">
        <f>Table224578910112345678910111213141516171819202122232425262728293031323334353738[[#This Row],[PEMBULATAN]]*O5</f>
        <v>63000</v>
      </c>
    </row>
    <row r="6" spans="1:16" ht="26.25" customHeight="1" x14ac:dyDescent="0.2">
      <c r="A6" s="104"/>
      <c r="B6" s="104"/>
      <c r="C6" s="92" t="s">
        <v>782</v>
      </c>
      <c r="D6" s="106" t="s">
        <v>59</v>
      </c>
      <c r="E6" s="93">
        <v>44518</v>
      </c>
      <c r="F6" s="106" t="s">
        <v>169</v>
      </c>
      <c r="G6" s="93">
        <v>44518</v>
      </c>
      <c r="H6" s="92" t="s">
        <v>681</v>
      </c>
      <c r="I6" s="92">
        <v>63</v>
      </c>
      <c r="J6" s="92">
        <v>25</v>
      </c>
      <c r="K6" s="92">
        <v>20</v>
      </c>
      <c r="L6" s="92">
        <v>8</v>
      </c>
      <c r="M6" s="92">
        <v>7.875</v>
      </c>
      <c r="N6" s="109">
        <v>8</v>
      </c>
      <c r="O6" s="58">
        <v>7000</v>
      </c>
      <c r="P6" s="59">
        <f>Table224578910112345678910111213141516171819202122232425262728293031323334353738[[#This Row],[PEMBULATAN]]*O6</f>
        <v>56000</v>
      </c>
    </row>
    <row r="7" spans="1:16" ht="26.25" customHeight="1" x14ac:dyDescent="0.2">
      <c r="A7" s="104"/>
      <c r="B7" s="105"/>
      <c r="C7" s="67" t="s">
        <v>783</v>
      </c>
      <c r="D7" s="72" t="s">
        <v>59</v>
      </c>
      <c r="E7" s="13">
        <v>44518</v>
      </c>
      <c r="F7" s="70" t="s">
        <v>169</v>
      </c>
      <c r="G7" s="13">
        <v>44518</v>
      </c>
      <c r="H7" s="71" t="s">
        <v>681</v>
      </c>
      <c r="I7" s="16">
        <v>82</v>
      </c>
      <c r="J7" s="16">
        <v>64</v>
      </c>
      <c r="K7" s="16">
        <v>11</v>
      </c>
      <c r="L7" s="16">
        <v>10</v>
      </c>
      <c r="M7" s="75">
        <v>14.432</v>
      </c>
      <c r="N7" s="109">
        <v>15</v>
      </c>
      <c r="O7" s="58">
        <v>7000</v>
      </c>
      <c r="P7" s="59">
        <f>Table224578910112345678910111213141516171819202122232425262728293031323334353738[[#This Row],[PEMBULATAN]]*O7</f>
        <v>105000</v>
      </c>
    </row>
    <row r="8" spans="1:16" ht="26.25" customHeight="1" x14ac:dyDescent="0.2">
      <c r="A8" s="104"/>
      <c r="B8" s="104" t="s">
        <v>784</v>
      </c>
      <c r="C8" s="67" t="s">
        <v>785</v>
      </c>
      <c r="D8" s="72" t="s">
        <v>59</v>
      </c>
      <c r="E8" s="13">
        <v>44518</v>
      </c>
      <c r="F8" s="70" t="s">
        <v>169</v>
      </c>
      <c r="G8" s="13">
        <v>44518</v>
      </c>
      <c r="H8" s="71" t="s">
        <v>681</v>
      </c>
      <c r="I8" s="16">
        <v>40</v>
      </c>
      <c r="J8" s="16">
        <v>32</v>
      </c>
      <c r="K8" s="16">
        <v>20</v>
      </c>
      <c r="L8" s="16">
        <v>6</v>
      </c>
      <c r="M8" s="75">
        <v>6.4</v>
      </c>
      <c r="N8" s="109">
        <v>7</v>
      </c>
      <c r="O8" s="58">
        <v>7000</v>
      </c>
      <c r="P8" s="59">
        <f>Table224578910112345678910111213141516171819202122232425262728293031323334353738[[#This Row],[PEMBULATAN]]*O8</f>
        <v>49000</v>
      </c>
    </row>
    <row r="9" spans="1:16" ht="26.25" customHeight="1" x14ac:dyDescent="0.2">
      <c r="A9" s="104"/>
      <c r="B9" s="104"/>
      <c r="C9" s="67" t="s">
        <v>786</v>
      </c>
      <c r="D9" s="72" t="s">
        <v>59</v>
      </c>
      <c r="E9" s="13">
        <v>44518</v>
      </c>
      <c r="F9" s="70" t="s">
        <v>169</v>
      </c>
      <c r="G9" s="13">
        <v>44518</v>
      </c>
      <c r="H9" s="71" t="s">
        <v>681</v>
      </c>
      <c r="I9" s="16">
        <v>40</v>
      </c>
      <c r="J9" s="16">
        <v>26</v>
      </c>
      <c r="K9" s="16">
        <v>20</v>
      </c>
      <c r="L9" s="16">
        <v>11</v>
      </c>
      <c r="M9" s="75">
        <v>5.2</v>
      </c>
      <c r="N9" s="109">
        <v>11</v>
      </c>
      <c r="O9" s="58">
        <v>7000</v>
      </c>
      <c r="P9" s="59">
        <f>Table224578910112345678910111213141516171819202122232425262728293031323334353738[[#This Row],[PEMBULATAN]]*O9</f>
        <v>77000</v>
      </c>
    </row>
    <row r="10" spans="1:16" ht="22.5" customHeight="1" x14ac:dyDescent="0.2">
      <c r="A10" s="145" t="s">
        <v>30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7"/>
      <c r="M10" s="73">
        <f>SUBTOTAL(109,Table224578910112345678910111213141516171819202122232425262728293031323334353738[KG VOLUME])</f>
        <v>68.457999999999998</v>
      </c>
      <c r="N10" s="62">
        <f>SUM(N3:N9)</f>
        <v>76.635000000000005</v>
      </c>
      <c r="O10" s="148">
        <f>SUM(P3:P9)</f>
        <v>536445</v>
      </c>
      <c r="P10" s="149"/>
    </row>
    <row r="11" spans="1:16" ht="18" customHeight="1" x14ac:dyDescent="0.2">
      <c r="A11" s="80"/>
      <c r="B11" s="50" t="s">
        <v>42</v>
      </c>
      <c r="C11" s="49"/>
      <c r="D11" s="51" t="s">
        <v>43</v>
      </c>
      <c r="E11" s="80"/>
      <c r="F11" s="80"/>
      <c r="G11" s="80"/>
      <c r="H11" s="80"/>
      <c r="I11" s="80"/>
      <c r="J11" s="80"/>
      <c r="K11" s="80"/>
      <c r="L11" s="80"/>
      <c r="M11" s="81"/>
      <c r="N11" s="82" t="s">
        <v>52</v>
      </c>
      <c r="O11" s="83"/>
      <c r="P11" s="83">
        <v>0</v>
      </c>
    </row>
    <row r="12" spans="1:16" ht="18" customHeight="1" thickBot="1" x14ac:dyDescent="0.25">
      <c r="A12" s="80"/>
      <c r="B12" s="50"/>
      <c r="C12" s="49"/>
      <c r="D12" s="51"/>
      <c r="E12" s="80"/>
      <c r="F12" s="80"/>
      <c r="G12" s="80"/>
      <c r="H12" s="80"/>
      <c r="I12" s="80"/>
      <c r="J12" s="80"/>
      <c r="K12" s="80"/>
      <c r="L12" s="80"/>
      <c r="M12" s="81"/>
      <c r="N12" s="84" t="s">
        <v>53</v>
      </c>
      <c r="O12" s="85"/>
      <c r="P12" s="85">
        <f>O10-P11</f>
        <v>536445</v>
      </c>
    </row>
    <row r="13" spans="1:16" ht="18" customHeight="1" x14ac:dyDescent="0.2">
      <c r="A13" s="11"/>
      <c r="H13" s="57"/>
      <c r="N13" s="56" t="s">
        <v>31</v>
      </c>
      <c r="P13" s="63">
        <f>P12*1%</f>
        <v>5364.45</v>
      </c>
    </row>
    <row r="14" spans="1:16" ht="18" customHeight="1" thickBot="1" x14ac:dyDescent="0.25">
      <c r="A14" s="11"/>
      <c r="H14" s="57"/>
      <c r="N14" s="56" t="s">
        <v>54</v>
      </c>
      <c r="P14" s="65">
        <f>P12*2%</f>
        <v>10728.9</v>
      </c>
    </row>
    <row r="15" spans="1:16" ht="18" customHeight="1" x14ac:dyDescent="0.2">
      <c r="A15" s="11"/>
      <c r="H15" s="57"/>
      <c r="N15" s="60" t="s">
        <v>32</v>
      </c>
      <c r="O15" s="61"/>
      <c r="P15" s="64">
        <f>P12+P13-P14</f>
        <v>531080.54999999993</v>
      </c>
    </row>
    <row r="17" spans="1:16" x14ac:dyDescent="0.2">
      <c r="A17" s="11"/>
      <c r="H17" s="57"/>
      <c r="P17" s="65"/>
    </row>
    <row r="18" spans="1:16" x14ac:dyDescent="0.2">
      <c r="A18" s="11"/>
      <c r="H18" s="57"/>
      <c r="O18" s="52"/>
      <c r="P18" s="65"/>
    </row>
    <row r="19" spans="1:16" s="3" customFormat="1" x14ac:dyDescent="0.25">
      <c r="A19" s="11"/>
      <c r="B19" s="2"/>
      <c r="C19" s="2"/>
      <c r="E19" s="12"/>
      <c r="H19" s="57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7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7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7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7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7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7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57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57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57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57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57"/>
      <c r="N30" s="15"/>
      <c r="O30" s="15"/>
      <c r="P30" s="15"/>
    </row>
  </sheetData>
  <mergeCells count="2">
    <mergeCell ref="A10:L10"/>
    <mergeCell ref="O10:P10"/>
  </mergeCells>
  <conditionalFormatting sqref="C3:C9">
    <cfRule type="duplicateValues" dxfId="79" priority="1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8"/>
  <sheetViews>
    <sheetView workbookViewId="0">
      <selection activeCell="Q5" sqref="Q5"/>
    </sheetView>
  </sheetViews>
  <sheetFormatPr defaultRowHeight="15" x14ac:dyDescent="0.2"/>
  <cols>
    <col min="1" max="1" width="8" style="4" customWidth="1"/>
    <col min="2" max="2" width="19.5703125" style="2" customWidth="1"/>
    <col min="3" max="3" width="15.7109375" style="2" customWidth="1"/>
    <col min="4" max="4" width="9" style="3" customWidth="1"/>
    <col min="5" max="5" width="9.42578125" style="12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1.85546875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3">
        <v>403882</v>
      </c>
      <c r="B3" s="103" t="s">
        <v>787</v>
      </c>
      <c r="C3" s="92" t="s">
        <v>788</v>
      </c>
      <c r="D3" s="106" t="s">
        <v>59</v>
      </c>
      <c r="E3" s="93">
        <v>44518</v>
      </c>
      <c r="F3" s="106" t="s">
        <v>169</v>
      </c>
      <c r="G3" s="93">
        <v>44518</v>
      </c>
      <c r="H3" s="92" t="s">
        <v>681</v>
      </c>
      <c r="I3" s="92">
        <v>64</v>
      </c>
      <c r="J3" s="92">
        <v>64</v>
      </c>
      <c r="K3" s="92">
        <v>24</v>
      </c>
      <c r="L3" s="92">
        <v>11</v>
      </c>
      <c r="M3" s="92">
        <v>24.576000000000001</v>
      </c>
      <c r="N3" s="109">
        <v>24.576000000000001</v>
      </c>
      <c r="O3" s="58">
        <v>7000</v>
      </c>
      <c r="P3" s="59">
        <f>Table22457891011234567891011121314151617181920212223242526272829303132333435373839[[#This Row],[PEMBULATAN]]*O3</f>
        <v>172032</v>
      </c>
    </row>
    <row r="4" spans="1:16" ht="26.25" customHeight="1" x14ac:dyDescent="0.2">
      <c r="A4" s="104"/>
      <c r="B4" s="104"/>
      <c r="C4" s="92" t="s">
        <v>789</v>
      </c>
      <c r="D4" s="106" t="s">
        <v>59</v>
      </c>
      <c r="E4" s="93">
        <v>44518</v>
      </c>
      <c r="F4" s="106" t="s">
        <v>169</v>
      </c>
      <c r="G4" s="93">
        <v>44518</v>
      </c>
      <c r="H4" s="92" t="s">
        <v>681</v>
      </c>
      <c r="I4" s="92">
        <v>65</v>
      </c>
      <c r="J4" s="92">
        <v>65</v>
      </c>
      <c r="K4" s="92">
        <v>27</v>
      </c>
      <c r="L4" s="92">
        <v>12</v>
      </c>
      <c r="M4" s="92">
        <v>28.518750000000001</v>
      </c>
      <c r="N4" s="109">
        <v>28.518750000000001</v>
      </c>
      <c r="O4" s="58">
        <v>7000</v>
      </c>
      <c r="P4" s="59">
        <f>Table22457891011234567891011121314151617181920212223242526272829303132333435373839[[#This Row],[PEMBULATAN]]*O4</f>
        <v>199631.25</v>
      </c>
    </row>
    <row r="5" spans="1:16" ht="26.25" customHeight="1" x14ac:dyDescent="0.2">
      <c r="A5" s="104"/>
      <c r="B5" s="104"/>
      <c r="C5" s="92" t="s">
        <v>790</v>
      </c>
      <c r="D5" s="106" t="s">
        <v>59</v>
      </c>
      <c r="E5" s="93">
        <v>44518</v>
      </c>
      <c r="F5" s="106" t="s">
        <v>169</v>
      </c>
      <c r="G5" s="93">
        <v>44518</v>
      </c>
      <c r="H5" s="92" t="s">
        <v>681</v>
      </c>
      <c r="I5" s="92">
        <v>67</v>
      </c>
      <c r="J5" s="92">
        <v>54</v>
      </c>
      <c r="K5" s="92">
        <v>5</v>
      </c>
      <c r="L5" s="92">
        <v>8</v>
      </c>
      <c r="M5" s="92">
        <v>4.5225</v>
      </c>
      <c r="N5" s="109">
        <v>8</v>
      </c>
      <c r="O5" s="58">
        <v>7000</v>
      </c>
      <c r="P5" s="59">
        <f>Table22457891011234567891011121314151617181920212223242526272829303132333435373839[[#This Row],[PEMBULATAN]]*O5</f>
        <v>56000</v>
      </c>
    </row>
    <row r="6" spans="1:16" ht="26.25" customHeight="1" x14ac:dyDescent="0.2">
      <c r="A6" s="104"/>
      <c r="B6" s="105"/>
      <c r="C6" s="92" t="s">
        <v>791</v>
      </c>
      <c r="D6" s="106" t="s">
        <v>59</v>
      </c>
      <c r="E6" s="93">
        <v>44518</v>
      </c>
      <c r="F6" s="106" t="s">
        <v>169</v>
      </c>
      <c r="G6" s="93">
        <v>44518</v>
      </c>
      <c r="H6" s="92" t="s">
        <v>681</v>
      </c>
      <c r="I6" s="92">
        <v>60</v>
      </c>
      <c r="J6" s="92">
        <v>50</v>
      </c>
      <c r="K6" s="92">
        <v>20</v>
      </c>
      <c r="L6" s="92">
        <v>6</v>
      </c>
      <c r="M6" s="92">
        <v>15</v>
      </c>
      <c r="N6" s="109">
        <v>15</v>
      </c>
      <c r="O6" s="58">
        <v>7000</v>
      </c>
      <c r="P6" s="59">
        <f>Table22457891011234567891011121314151617181920212223242526272829303132333435373839[[#This Row],[PEMBULATAN]]*O6</f>
        <v>105000</v>
      </c>
    </row>
    <row r="7" spans="1:16" ht="26.25" customHeight="1" x14ac:dyDescent="0.2">
      <c r="A7" s="104"/>
      <c r="B7" s="104" t="s">
        <v>792</v>
      </c>
      <c r="C7" s="67" t="s">
        <v>793</v>
      </c>
      <c r="D7" s="72" t="s">
        <v>59</v>
      </c>
      <c r="E7" s="13">
        <v>44518</v>
      </c>
      <c r="F7" s="70" t="s">
        <v>169</v>
      </c>
      <c r="G7" s="13">
        <v>44518</v>
      </c>
      <c r="H7" s="71" t="s">
        <v>681</v>
      </c>
      <c r="I7" s="16">
        <v>47</v>
      </c>
      <c r="J7" s="16">
        <v>36</v>
      </c>
      <c r="K7" s="16">
        <v>56</v>
      </c>
      <c r="L7" s="16">
        <v>36</v>
      </c>
      <c r="M7" s="75">
        <v>23.687999999999999</v>
      </c>
      <c r="N7" s="109">
        <v>36</v>
      </c>
      <c r="O7" s="58">
        <v>7000</v>
      </c>
      <c r="P7" s="59">
        <f>Table22457891011234567891011121314151617181920212223242526272829303132333435373839[[#This Row],[PEMBULATAN]]*O7</f>
        <v>252000</v>
      </c>
    </row>
    <row r="8" spans="1:16" ht="26.25" customHeight="1" x14ac:dyDescent="0.2">
      <c r="A8" s="104"/>
      <c r="B8" s="104"/>
      <c r="C8" s="67" t="s">
        <v>794</v>
      </c>
      <c r="D8" s="72" t="s">
        <v>59</v>
      </c>
      <c r="E8" s="13">
        <v>44518</v>
      </c>
      <c r="F8" s="70" t="s">
        <v>169</v>
      </c>
      <c r="G8" s="13">
        <v>44518</v>
      </c>
      <c r="H8" s="71" t="s">
        <v>681</v>
      </c>
      <c r="I8" s="16">
        <v>40</v>
      </c>
      <c r="J8" s="16">
        <v>32</v>
      </c>
      <c r="K8" s="16">
        <v>32</v>
      </c>
      <c r="L8" s="16">
        <v>12</v>
      </c>
      <c r="M8" s="75">
        <v>10.24</v>
      </c>
      <c r="N8" s="109">
        <v>12</v>
      </c>
      <c r="O8" s="58">
        <v>7000</v>
      </c>
      <c r="P8" s="59">
        <f>Table22457891011234567891011121314151617181920212223242526272829303132333435373839[[#This Row],[PEMBULATAN]]*O8</f>
        <v>84000</v>
      </c>
    </row>
    <row r="9" spans="1:16" ht="26.25" customHeight="1" x14ac:dyDescent="0.2">
      <c r="A9" s="104"/>
      <c r="B9" s="104"/>
      <c r="C9" s="67" t="s">
        <v>795</v>
      </c>
      <c r="D9" s="72" t="s">
        <v>59</v>
      </c>
      <c r="E9" s="13">
        <v>44518</v>
      </c>
      <c r="F9" s="70" t="s">
        <v>169</v>
      </c>
      <c r="G9" s="13">
        <v>44518</v>
      </c>
      <c r="H9" s="71" t="s">
        <v>681</v>
      </c>
      <c r="I9" s="16">
        <v>40</v>
      </c>
      <c r="J9" s="16">
        <v>37</v>
      </c>
      <c r="K9" s="16">
        <v>25</v>
      </c>
      <c r="L9" s="16">
        <v>6</v>
      </c>
      <c r="M9" s="75">
        <v>9.25</v>
      </c>
      <c r="N9" s="109">
        <v>9.25</v>
      </c>
      <c r="O9" s="58">
        <v>7000</v>
      </c>
      <c r="P9" s="59">
        <f>Table22457891011234567891011121314151617181920212223242526272829303132333435373839[[#This Row],[PEMBULATAN]]*O9</f>
        <v>64750</v>
      </c>
    </row>
    <row r="10" spans="1:16" ht="26.25" customHeight="1" x14ac:dyDescent="0.2">
      <c r="A10" s="104"/>
      <c r="B10" s="104"/>
      <c r="C10" s="67" t="s">
        <v>796</v>
      </c>
      <c r="D10" s="72" t="s">
        <v>59</v>
      </c>
      <c r="E10" s="13">
        <v>44518</v>
      </c>
      <c r="F10" s="70" t="s">
        <v>169</v>
      </c>
      <c r="G10" s="13">
        <v>44518</v>
      </c>
      <c r="H10" s="71" t="s">
        <v>681</v>
      </c>
      <c r="I10" s="16">
        <v>40</v>
      </c>
      <c r="J10" s="16">
        <v>24</v>
      </c>
      <c r="K10" s="16">
        <v>26</v>
      </c>
      <c r="L10" s="16">
        <v>7</v>
      </c>
      <c r="M10" s="75">
        <v>6.24</v>
      </c>
      <c r="N10" s="109">
        <v>7</v>
      </c>
      <c r="O10" s="58">
        <v>7000</v>
      </c>
      <c r="P10" s="59">
        <f>Table22457891011234567891011121314151617181920212223242526272829303132333435373839[[#This Row],[PEMBULATAN]]*O10</f>
        <v>49000</v>
      </c>
    </row>
    <row r="11" spans="1:16" ht="26.25" customHeight="1" x14ac:dyDescent="0.2">
      <c r="A11" s="104"/>
      <c r="B11" s="104"/>
      <c r="C11" s="67" t="s">
        <v>797</v>
      </c>
      <c r="D11" s="72" t="s">
        <v>59</v>
      </c>
      <c r="E11" s="13">
        <v>44518</v>
      </c>
      <c r="F11" s="70" t="s">
        <v>169</v>
      </c>
      <c r="G11" s="13">
        <v>44518</v>
      </c>
      <c r="H11" s="71" t="s">
        <v>681</v>
      </c>
      <c r="I11" s="16">
        <v>37</v>
      </c>
      <c r="J11" s="16">
        <v>30</v>
      </c>
      <c r="K11" s="16">
        <v>18</v>
      </c>
      <c r="L11" s="16">
        <v>5</v>
      </c>
      <c r="M11" s="75">
        <v>4.9950000000000001</v>
      </c>
      <c r="N11" s="109">
        <v>5</v>
      </c>
      <c r="O11" s="58">
        <v>7000</v>
      </c>
      <c r="P11" s="59">
        <f>Table22457891011234567891011121314151617181920212223242526272829303132333435373839[[#This Row],[PEMBULATAN]]*O11</f>
        <v>35000</v>
      </c>
    </row>
    <row r="12" spans="1:16" ht="26.25" customHeight="1" x14ac:dyDescent="0.2">
      <c r="A12" s="104"/>
      <c r="B12" s="104"/>
      <c r="C12" s="67" t="s">
        <v>798</v>
      </c>
      <c r="D12" s="72" t="s">
        <v>59</v>
      </c>
      <c r="E12" s="13">
        <v>44518</v>
      </c>
      <c r="F12" s="70" t="s">
        <v>169</v>
      </c>
      <c r="G12" s="13">
        <v>44518</v>
      </c>
      <c r="H12" s="71" t="s">
        <v>681</v>
      </c>
      <c r="I12" s="16">
        <v>64</v>
      </c>
      <c r="J12" s="16">
        <v>60</v>
      </c>
      <c r="K12" s="16">
        <v>20</v>
      </c>
      <c r="L12" s="16">
        <v>11</v>
      </c>
      <c r="M12" s="75">
        <v>19.2</v>
      </c>
      <c r="N12" s="109">
        <v>19.2</v>
      </c>
      <c r="O12" s="58">
        <v>7000</v>
      </c>
      <c r="P12" s="59">
        <f>Table22457891011234567891011121314151617181920212223242526272829303132333435373839[[#This Row],[PEMBULATAN]]*O12</f>
        <v>134400</v>
      </c>
    </row>
    <row r="13" spans="1:16" ht="26.25" customHeight="1" x14ac:dyDescent="0.2">
      <c r="A13" s="104"/>
      <c r="B13" s="104"/>
      <c r="C13" s="67" t="s">
        <v>799</v>
      </c>
      <c r="D13" s="72" t="s">
        <v>59</v>
      </c>
      <c r="E13" s="13">
        <v>44518</v>
      </c>
      <c r="F13" s="70" t="s">
        <v>169</v>
      </c>
      <c r="G13" s="13">
        <v>44518</v>
      </c>
      <c r="H13" s="71" t="s">
        <v>681</v>
      </c>
      <c r="I13" s="16">
        <v>60</v>
      </c>
      <c r="J13" s="16">
        <v>50</v>
      </c>
      <c r="K13" s="16">
        <v>25</v>
      </c>
      <c r="L13" s="16">
        <v>11</v>
      </c>
      <c r="M13" s="75">
        <v>18.75</v>
      </c>
      <c r="N13" s="109">
        <v>18.75</v>
      </c>
      <c r="O13" s="58">
        <v>7000</v>
      </c>
      <c r="P13" s="59">
        <f>Table22457891011234567891011121314151617181920212223242526272829303132333435373839[[#This Row],[PEMBULATAN]]*O13</f>
        <v>131250</v>
      </c>
    </row>
    <row r="14" spans="1:16" ht="26.25" customHeight="1" x14ac:dyDescent="0.2">
      <c r="A14" s="104"/>
      <c r="B14" s="104"/>
      <c r="C14" s="67" t="s">
        <v>800</v>
      </c>
      <c r="D14" s="72" t="s">
        <v>59</v>
      </c>
      <c r="E14" s="13">
        <v>44518</v>
      </c>
      <c r="F14" s="70" t="s">
        <v>169</v>
      </c>
      <c r="G14" s="13">
        <v>44518</v>
      </c>
      <c r="H14" s="71" t="s">
        <v>681</v>
      </c>
      <c r="I14" s="16">
        <v>54</v>
      </c>
      <c r="J14" s="16">
        <v>50</v>
      </c>
      <c r="K14" s="16">
        <v>33</v>
      </c>
      <c r="L14" s="16">
        <v>13</v>
      </c>
      <c r="M14" s="75">
        <v>22.274999999999999</v>
      </c>
      <c r="N14" s="109">
        <v>22.274999999999999</v>
      </c>
      <c r="O14" s="58">
        <v>7000</v>
      </c>
      <c r="P14" s="59">
        <f>Table22457891011234567891011121314151617181920212223242526272829303132333435373839[[#This Row],[PEMBULATAN]]*O14</f>
        <v>155925</v>
      </c>
    </row>
    <row r="15" spans="1:16" ht="26.25" customHeight="1" x14ac:dyDescent="0.2">
      <c r="A15" s="104"/>
      <c r="B15" s="104"/>
      <c r="C15" s="67" t="s">
        <v>801</v>
      </c>
      <c r="D15" s="72" t="s">
        <v>59</v>
      </c>
      <c r="E15" s="13">
        <v>44518</v>
      </c>
      <c r="F15" s="70" t="s">
        <v>169</v>
      </c>
      <c r="G15" s="13">
        <v>44518</v>
      </c>
      <c r="H15" s="71" t="s">
        <v>681</v>
      </c>
      <c r="I15" s="16">
        <v>47</v>
      </c>
      <c r="J15" s="16">
        <v>50</v>
      </c>
      <c r="K15" s="16">
        <v>27</v>
      </c>
      <c r="L15" s="16">
        <v>16</v>
      </c>
      <c r="M15" s="75">
        <v>15.862500000000001</v>
      </c>
      <c r="N15" s="109">
        <v>16</v>
      </c>
      <c r="O15" s="58">
        <v>7000</v>
      </c>
      <c r="P15" s="59">
        <f>Table22457891011234567891011121314151617181920212223242526272829303132333435373839[[#This Row],[PEMBULATAN]]*O15</f>
        <v>112000</v>
      </c>
    </row>
    <row r="16" spans="1:16" ht="26.25" customHeight="1" x14ac:dyDescent="0.2">
      <c r="A16" s="104"/>
      <c r="B16" s="104"/>
      <c r="C16" s="67" t="s">
        <v>802</v>
      </c>
      <c r="D16" s="72" t="s">
        <v>59</v>
      </c>
      <c r="E16" s="13">
        <v>44518</v>
      </c>
      <c r="F16" s="70" t="s">
        <v>169</v>
      </c>
      <c r="G16" s="13">
        <v>44518</v>
      </c>
      <c r="H16" s="71" t="s">
        <v>681</v>
      </c>
      <c r="I16" s="16">
        <v>47</v>
      </c>
      <c r="J16" s="16">
        <v>50</v>
      </c>
      <c r="K16" s="16">
        <v>27</v>
      </c>
      <c r="L16" s="16">
        <v>16</v>
      </c>
      <c r="M16" s="75">
        <v>15.862500000000001</v>
      </c>
      <c r="N16" s="109">
        <v>16</v>
      </c>
      <c r="O16" s="58">
        <v>7000</v>
      </c>
      <c r="P16" s="59">
        <f>Table22457891011234567891011121314151617181920212223242526272829303132333435373839[[#This Row],[PEMBULATAN]]*O16</f>
        <v>112000</v>
      </c>
    </row>
    <row r="17" spans="1:16" ht="26.25" customHeight="1" x14ac:dyDescent="0.2">
      <c r="A17" s="104"/>
      <c r="B17" s="104"/>
      <c r="C17" s="67" t="s">
        <v>803</v>
      </c>
      <c r="D17" s="72" t="s">
        <v>59</v>
      </c>
      <c r="E17" s="13">
        <v>44518</v>
      </c>
      <c r="F17" s="70" t="s">
        <v>169</v>
      </c>
      <c r="G17" s="13">
        <v>44518</v>
      </c>
      <c r="H17" s="71" t="s">
        <v>681</v>
      </c>
      <c r="I17" s="16">
        <v>54</v>
      </c>
      <c r="J17" s="16">
        <v>40</v>
      </c>
      <c r="K17" s="16">
        <v>20</v>
      </c>
      <c r="L17" s="16">
        <v>12</v>
      </c>
      <c r="M17" s="75">
        <v>10.8</v>
      </c>
      <c r="N17" s="109">
        <v>12</v>
      </c>
      <c r="O17" s="58">
        <v>7000</v>
      </c>
      <c r="P17" s="59">
        <f>Table22457891011234567891011121314151617181920212223242526272829303132333435373839[[#This Row],[PEMBULATAN]]*O17</f>
        <v>84000</v>
      </c>
    </row>
    <row r="18" spans="1:16" ht="26.25" customHeight="1" x14ac:dyDescent="0.2">
      <c r="A18" s="104"/>
      <c r="B18" s="104"/>
      <c r="C18" s="67" t="s">
        <v>804</v>
      </c>
      <c r="D18" s="72" t="s">
        <v>59</v>
      </c>
      <c r="E18" s="13">
        <v>44518</v>
      </c>
      <c r="F18" s="70" t="s">
        <v>169</v>
      </c>
      <c r="G18" s="13">
        <v>44518</v>
      </c>
      <c r="H18" s="71" t="s">
        <v>681</v>
      </c>
      <c r="I18" s="16">
        <v>40</v>
      </c>
      <c r="J18" s="16">
        <v>53</v>
      </c>
      <c r="K18" s="16">
        <v>16</v>
      </c>
      <c r="L18" s="16">
        <v>5</v>
      </c>
      <c r="M18" s="75">
        <v>8.48</v>
      </c>
      <c r="N18" s="109">
        <v>9</v>
      </c>
      <c r="O18" s="58">
        <v>7000</v>
      </c>
      <c r="P18" s="59">
        <f>Table22457891011234567891011121314151617181920212223242526272829303132333435373839[[#This Row],[PEMBULATAN]]*O18</f>
        <v>63000</v>
      </c>
    </row>
    <row r="19" spans="1:16" ht="26.25" customHeight="1" x14ac:dyDescent="0.2">
      <c r="A19" s="104"/>
      <c r="B19" s="104"/>
      <c r="C19" s="67" t="s">
        <v>805</v>
      </c>
      <c r="D19" s="72" t="s">
        <v>59</v>
      </c>
      <c r="E19" s="13">
        <v>44518</v>
      </c>
      <c r="F19" s="70" t="s">
        <v>169</v>
      </c>
      <c r="G19" s="13">
        <v>44518</v>
      </c>
      <c r="H19" s="71" t="s">
        <v>681</v>
      </c>
      <c r="I19" s="16">
        <v>50</v>
      </c>
      <c r="J19" s="16">
        <v>40</v>
      </c>
      <c r="K19" s="16">
        <v>20</v>
      </c>
      <c r="L19" s="16">
        <v>7</v>
      </c>
      <c r="M19" s="75">
        <v>10</v>
      </c>
      <c r="N19" s="109">
        <v>10</v>
      </c>
      <c r="O19" s="58">
        <v>7000</v>
      </c>
      <c r="P19" s="59">
        <f>Table22457891011234567891011121314151617181920212223242526272829303132333435373839[[#This Row],[PEMBULATAN]]*O19</f>
        <v>70000</v>
      </c>
    </row>
    <row r="20" spans="1:16" ht="26.25" customHeight="1" x14ac:dyDescent="0.2">
      <c r="A20" s="104"/>
      <c r="B20" s="104"/>
      <c r="C20" s="67" t="s">
        <v>806</v>
      </c>
      <c r="D20" s="72" t="s">
        <v>59</v>
      </c>
      <c r="E20" s="13">
        <v>44518</v>
      </c>
      <c r="F20" s="70" t="s">
        <v>169</v>
      </c>
      <c r="G20" s="13">
        <v>44518</v>
      </c>
      <c r="H20" s="71" t="s">
        <v>681</v>
      </c>
      <c r="I20" s="16">
        <v>47</v>
      </c>
      <c r="J20" s="16">
        <v>50</v>
      </c>
      <c r="K20" s="16">
        <v>27</v>
      </c>
      <c r="L20" s="16">
        <v>16</v>
      </c>
      <c r="M20" s="75">
        <v>15.862500000000001</v>
      </c>
      <c r="N20" s="109">
        <v>16</v>
      </c>
      <c r="O20" s="58">
        <v>7000</v>
      </c>
      <c r="P20" s="59">
        <f>Table22457891011234567891011121314151617181920212223242526272829303132333435373839[[#This Row],[PEMBULATAN]]*O20</f>
        <v>112000</v>
      </c>
    </row>
    <row r="21" spans="1:16" ht="26.25" customHeight="1" x14ac:dyDescent="0.2">
      <c r="A21" s="104"/>
      <c r="B21" s="104"/>
      <c r="C21" s="67" t="s">
        <v>807</v>
      </c>
      <c r="D21" s="72" t="s">
        <v>59</v>
      </c>
      <c r="E21" s="13">
        <v>44518</v>
      </c>
      <c r="F21" s="70" t="s">
        <v>169</v>
      </c>
      <c r="G21" s="13">
        <v>44518</v>
      </c>
      <c r="H21" s="71" t="s">
        <v>681</v>
      </c>
      <c r="I21" s="16">
        <v>23</v>
      </c>
      <c r="J21" s="16">
        <v>17</v>
      </c>
      <c r="K21" s="16">
        <v>17</v>
      </c>
      <c r="L21" s="16">
        <v>13</v>
      </c>
      <c r="M21" s="75">
        <v>1.6617500000000001</v>
      </c>
      <c r="N21" s="109">
        <v>13</v>
      </c>
      <c r="O21" s="58">
        <v>7000</v>
      </c>
      <c r="P21" s="59">
        <f>Table22457891011234567891011121314151617181920212223242526272829303132333435373839[[#This Row],[PEMBULATAN]]*O21</f>
        <v>91000</v>
      </c>
    </row>
    <row r="22" spans="1:16" ht="26.25" customHeight="1" x14ac:dyDescent="0.2">
      <c r="A22" s="104"/>
      <c r="B22" s="104"/>
      <c r="C22" s="67" t="s">
        <v>808</v>
      </c>
      <c r="D22" s="72" t="s">
        <v>59</v>
      </c>
      <c r="E22" s="13">
        <v>44518</v>
      </c>
      <c r="F22" s="70" t="s">
        <v>169</v>
      </c>
      <c r="G22" s="13">
        <v>44518</v>
      </c>
      <c r="H22" s="71" t="s">
        <v>681</v>
      </c>
      <c r="I22" s="16">
        <v>68</v>
      </c>
      <c r="J22" s="16">
        <v>52</v>
      </c>
      <c r="K22" s="16">
        <v>73</v>
      </c>
      <c r="L22" s="16">
        <v>12</v>
      </c>
      <c r="M22" s="75">
        <v>64.531999999999996</v>
      </c>
      <c r="N22" s="109">
        <v>64.531999999999996</v>
      </c>
      <c r="O22" s="58">
        <v>7000</v>
      </c>
      <c r="P22" s="59">
        <f>Table22457891011234567891011121314151617181920212223242526272829303132333435373839[[#This Row],[PEMBULATAN]]*O22</f>
        <v>451724</v>
      </c>
    </row>
    <row r="23" spans="1:16" ht="26.25" customHeight="1" x14ac:dyDescent="0.2">
      <c r="A23" s="104"/>
      <c r="B23" s="104"/>
      <c r="C23" s="67" t="s">
        <v>809</v>
      </c>
      <c r="D23" s="72" t="s">
        <v>59</v>
      </c>
      <c r="E23" s="13">
        <v>44518</v>
      </c>
      <c r="F23" s="70" t="s">
        <v>169</v>
      </c>
      <c r="G23" s="13">
        <v>44518</v>
      </c>
      <c r="H23" s="71" t="s">
        <v>681</v>
      </c>
      <c r="I23" s="16">
        <v>36</v>
      </c>
      <c r="J23" s="16">
        <v>32</v>
      </c>
      <c r="K23" s="16">
        <v>22</v>
      </c>
      <c r="L23" s="16">
        <v>12</v>
      </c>
      <c r="M23" s="75">
        <v>6.3360000000000003</v>
      </c>
      <c r="N23" s="109">
        <v>13</v>
      </c>
      <c r="O23" s="58">
        <v>7000</v>
      </c>
      <c r="P23" s="59">
        <f>Table22457891011234567891011121314151617181920212223242526272829303132333435373839[[#This Row],[PEMBULATAN]]*O23</f>
        <v>91000</v>
      </c>
    </row>
    <row r="24" spans="1:16" ht="26.25" customHeight="1" x14ac:dyDescent="0.2">
      <c r="A24" s="104"/>
      <c r="B24" s="104"/>
      <c r="C24" s="67" t="s">
        <v>810</v>
      </c>
      <c r="D24" s="72" t="s">
        <v>59</v>
      </c>
      <c r="E24" s="13">
        <v>44518</v>
      </c>
      <c r="F24" s="70" t="s">
        <v>169</v>
      </c>
      <c r="G24" s="13">
        <v>44518</v>
      </c>
      <c r="H24" s="71" t="s">
        <v>681</v>
      </c>
      <c r="I24" s="16">
        <v>83</v>
      </c>
      <c r="J24" s="16">
        <v>54</v>
      </c>
      <c r="K24" s="16">
        <v>33</v>
      </c>
      <c r="L24" s="16">
        <v>10</v>
      </c>
      <c r="M24" s="75">
        <v>36.976500000000001</v>
      </c>
      <c r="N24" s="109">
        <v>36.976500000000001</v>
      </c>
      <c r="O24" s="58">
        <v>7000</v>
      </c>
      <c r="P24" s="59">
        <f>Table22457891011234567891011121314151617181920212223242526272829303132333435373839[[#This Row],[PEMBULATAN]]*O24</f>
        <v>258835.5</v>
      </c>
    </row>
    <row r="25" spans="1:16" ht="26.25" customHeight="1" x14ac:dyDescent="0.2">
      <c r="A25" s="104"/>
      <c r="B25" s="104"/>
      <c r="C25" s="67" t="s">
        <v>811</v>
      </c>
      <c r="D25" s="72" t="s">
        <v>59</v>
      </c>
      <c r="E25" s="13">
        <v>44518</v>
      </c>
      <c r="F25" s="70" t="s">
        <v>169</v>
      </c>
      <c r="G25" s="13">
        <v>44518</v>
      </c>
      <c r="H25" s="71" t="s">
        <v>681</v>
      </c>
      <c r="I25" s="16">
        <v>44</v>
      </c>
      <c r="J25" s="16">
        <v>37</v>
      </c>
      <c r="K25" s="16">
        <v>16</v>
      </c>
      <c r="L25" s="16">
        <v>7</v>
      </c>
      <c r="M25" s="75">
        <v>6.5119999999999996</v>
      </c>
      <c r="N25" s="109">
        <v>7</v>
      </c>
      <c r="O25" s="58">
        <v>7000</v>
      </c>
      <c r="P25" s="59">
        <f>Table22457891011234567891011121314151617181920212223242526272829303132333435373839[[#This Row],[PEMBULATAN]]*O25</f>
        <v>49000</v>
      </c>
    </row>
    <row r="26" spans="1:16" ht="26.25" customHeight="1" x14ac:dyDescent="0.2">
      <c r="A26" s="104"/>
      <c r="B26" s="104"/>
      <c r="C26" s="67" t="s">
        <v>812</v>
      </c>
      <c r="D26" s="72" t="s">
        <v>59</v>
      </c>
      <c r="E26" s="13">
        <v>44518</v>
      </c>
      <c r="F26" s="70" t="s">
        <v>169</v>
      </c>
      <c r="G26" s="13">
        <v>44518</v>
      </c>
      <c r="H26" s="71" t="s">
        <v>681</v>
      </c>
      <c r="I26" s="16">
        <v>63</v>
      </c>
      <c r="J26" s="16">
        <v>46</v>
      </c>
      <c r="K26" s="16">
        <v>20</v>
      </c>
      <c r="L26" s="16">
        <v>9</v>
      </c>
      <c r="M26" s="75">
        <v>14.49</v>
      </c>
      <c r="N26" s="109">
        <v>15</v>
      </c>
      <c r="O26" s="58">
        <v>7000</v>
      </c>
      <c r="P26" s="59">
        <f>Table22457891011234567891011121314151617181920212223242526272829303132333435373839[[#This Row],[PEMBULATAN]]*O26</f>
        <v>105000</v>
      </c>
    </row>
    <row r="27" spans="1:16" ht="26.25" customHeight="1" x14ac:dyDescent="0.2">
      <c r="A27" s="104"/>
      <c r="B27" s="104"/>
      <c r="C27" s="67" t="s">
        <v>813</v>
      </c>
      <c r="D27" s="72" t="s">
        <v>59</v>
      </c>
      <c r="E27" s="13">
        <v>44518</v>
      </c>
      <c r="F27" s="70" t="s">
        <v>169</v>
      </c>
      <c r="G27" s="13">
        <v>44518</v>
      </c>
      <c r="H27" s="71" t="s">
        <v>681</v>
      </c>
      <c r="I27" s="16">
        <v>44</v>
      </c>
      <c r="J27" s="16">
        <v>39</v>
      </c>
      <c r="K27" s="16">
        <v>36</v>
      </c>
      <c r="L27" s="16">
        <v>11</v>
      </c>
      <c r="M27" s="75">
        <v>15.444000000000001</v>
      </c>
      <c r="N27" s="109">
        <v>16</v>
      </c>
      <c r="O27" s="58">
        <v>7000</v>
      </c>
      <c r="P27" s="59">
        <f>Table22457891011234567891011121314151617181920212223242526272829303132333435373839[[#This Row],[PEMBULATAN]]*O27</f>
        <v>112000</v>
      </c>
    </row>
    <row r="28" spans="1:16" ht="26.25" customHeight="1" x14ac:dyDescent="0.2">
      <c r="A28" s="104"/>
      <c r="B28" s="104"/>
      <c r="C28" s="67" t="s">
        <v>814</v>
      </c>
      <c r="D28" s="72" t="s">
        <v>59</v>
      </c>
      <c r="E28" s="13">
        <v>44518</v>
      </c>
      <c r="F28" s="70" t="s">
        <v>169</v>
      </c>
      <c r="G28" s="13">
        <v>44518</v>
      </c>
      <c r="H28" s="71" t="s">
        <v>681</v>
      </c>
      <c r="I28" s="16">
        <v>60</v>
      </c>
      <c r="J28" s="16">
        <v>60</v>
      </c>
      <c r="K28" s="16">
        <v>17</v>
      </c>
      <c r="L28" s="16">
        <v>10</v>
      </c>
      <c r="M28" s="75">
        <v>15.3</v>
      </c>
      <c r="N28" s="109">
        <v>16</v>
      </c>
      <c r="O28" s="58">
        <v>7000</v>
      </c>
      <c r="P28" s="59">
        <f>Table22457891011234567891011121314151617181920212223242526272829303132333435373839[[#This Row],[PEMBULATAN]]*O28</f>
        <v>112000</v>
      </c>
    </row>
    <row r="29" spans="1:16" ht="26.25" customHeight="1" x14ac:dyDescent="0.2">
      <c r="A29" s="104"/>
      <c r="B29" s="104"/>
      <c r="C29" s="67" t="s">
        <v>815</v>
      </c>
      <c r="D29" s="72" t="s">
        <v>59</v>
      </c>
      <c r="E29" s="13">
        <v>44518</v>
      </c>
      <c r="F29" s="70" t="s">
        <v>169</v>
      </c>
      <c r="G29" s="13">
        <v>44518</v>
      </c>
      <c r="H29" s="71" t="s">
        <v>681</v>
      </c>
      <c r="I29" s="16">
        <v>50</v>
      </c>
      <c r="J29" s="16">
        <v>42</v>
      </c>
      <c r="K29" s="16">
        <v>23</v>
      </c>
      <c r="L29" s="16">
        <v>6</v>
      </c>
      <c r="M29" s="75">
        <v>12.074999999999999</v>
      </c>
      <c r="N29" s="109">
        <v>12.074999999999999</v>
      </c>
      <c r="O29" s="58">
        <v>7000</v>
      </c>
      <c r="P29" s="59">
        <f>Table22457891011234567891011121314151617181920212223242526272829303132333435373839[[#This Row],[PEMBULATAN]]*O29</f>
        <v>84525</v>
      </c>
    </row>
    <row r="30" spans="1:16" ht="26.25" customHeight="1" x14ac:dyDescent="0.2">
      <c r="A30" s="104"/>
      <c r="B30" s="104"/>
      <c r="C30" s="67" t="s">
        <v>816</v>
      </c>
      <c r="D30" s="72" t="s">
        <v>59</v>
      </c>
      <c r="E30" s="13">
        <v>44518</v>
      </c>
      <c r="F30" s="70" t="s">
        <v>169</v>
      </c>
      <c r="G30" s="13">
        <v>44518</v>
      </c>
      <c r="H30" s="71" t="s">
        <v>681</v>
      </c>
      <c r="I30" s="16">
        <v>44</v>
      </c>
      <c r="J30" s="16">
        <v>35</v>
      </c>
      <c r="K30" s="16">
        <v>33</v>
      </c>
      <c r="L30" s="16">
        <v>10</v>
      </c>
      <c r="M30" s="75">
        <v>12.705</v>
      </c>
      <c r="N30" s="109">
        <v>12.705</v>
      </c>
      <c r="O30" s="58">
        <v>7000</v>
      </c>
      <c r="P30" s="59">
        <f>Table22457891011234567891011121314151617181920212223242526272829303132333435373839[[#This Row],[PEMBULATAN]]*O30</f>
        <v>88935</v>
      </c>
    </row>
    <row r="31" spans="1:16" ht="26.25" customHeight="1" x14ac:dyDescent="0.2">
      <c r="A31" s="104"/>
      <c r="B31" s="104"/>
      <c r="C31" s="67" t="s">
        <v>817</v>
      </c>
      <c r="D31" s="72" t="s">
        <v>59</v>
      </c>
      <c r="E31" s="13">
        <v>44518</v>
      </c>
      <c r="F31" s="70" t="s">
        <v>169</v>
      </c>
      <c r="G31" s="13">
        <v>44518</v>
      </c>
      <c r="H31" s="71" t="s">
        <v>681</v>
      </c>
      <c r="I31" s="16">
        <v>63</v>
      </c>
      <c r="J31" s="16">
        <v>56</v>
      </c>
      <c r="K31" s="16">
        <v>17</v>
      </c>
      <c r="L31" s="16">
        <v>9</v>
      </c>
      <c r="M31" s="75">
        <v>14.994</v>
      </c>
      <c r="N31" s="109">
        <v>14.994</v>
      </c>
      <c r="O31" s="58">
        <v>7000</v>
      </c>
      <c r="P31" s="59">
        <f>Table22457891011234567891011121314151617181920212223242526272829303132333435373839[[#This Row],[PEMBULATAN]]*O31</f>
        <v>104958</v>
      </c>
    </row>
    <row r="32" spans="1:16" ht="26.25" customHeight="1" x14ac:dyDescent="0.2">
      <c r="A32" s="104"/>
      <c r="B32" s="104"/>
      <c r="C32" s="67" t="s">
        <v>818</v>
      </c>
      <c r="D32" s="72" t="s">
        <v>59</v>
      </c>
      <c r="E32" s="13">
        <v>44518</v>
      </c>
      <c r="F32" s="70" t="s">
        <v>169</v>
      </c>
      <c r="G32" s="13">
        <v>44518</v>
      </c>
      <c r="H32" s="71" t="s">
        <v>681</v>
      </c>
      <c r="I32" s="16">
        <v>130</v>
      </c>
      <c r="J32" s="16">
        <v>17</v>
      </c>
      <c r="K32" s="16">
        <v>14</v>
      </c>
      <c r="L32" s="16">
        <v>7</v>
      </c>
      <c r="M32" s="75">
        <v>7.7350000000000003</v>
      </c>
      <c r="N32" s="109">
        <v>7.7350000000000003</v>
      </c>
      <c r="O32" s="58">
        <v>7000</v>
      </c>
      <c r="P32" s="59">
        <f>Table22457891011234567891011121314151617181920212223242526272829303132333435373839[[#This Row],[PEMBULATAN]]*O32</f>
        <v>54145</v>
      </c>
    </row>
    <row r="33" spans="1:16" ht="26.25" customHeight="1" x14ac:dyDescent="0.2">
      <c r="A33" s="104"/>
      <c r="B33" s="104"/>
      <c r="C33" s="67" t="s">
        <v>819</v>
      </c>
      <c r="D33" s="72" t="s">
        <v>59</v>
      </c>
      <c r="E33" s="13">
        <v>44518</v>
      </c>
      <c r="F33" s="70" t="s">
        <v>169</v>
      </c>
      <c r="G33" s="13">
        <v>44518</v>
      </c>
      <c r="H33" s="71" t="s">
        <v>681</v>
      </c>
      <c r="I33" s="16">
        <v>34</v>
      </c>
      <c r="J33" s="16">
        <v>25</v>
      </c>
      <c r="K33" s="16">
        <v>17</v>
      </c>
      <c r="L33" s="16">
        <v>2</v>
      </c>
      <c r="M33" s="75">
        <v>3.6124999999999998</v>
      </c>
      <c r="N33" s="109">
        <v>3.6124999999999998</v>
      </c>
      <c r="O33" s="58">
        <v>7000</v>
      </c>
      <c r="P33" s="59">
        <f>Table22457891011234567891011121314151617181920212223242526272829303132333435373839[[#This Row],[PEMBULATAN]]*O33</f>
        <v>25287.5</v>
      </c>
    </row>
    <row r="34" spans="1:16" ht="26.25" customHeight="1" x14ac:dyDescent="0.2">
      <c r="A34" s="104"/>
      <c r="B34" s="104"/>
      <c r="C34" s="67" t="s">
        <v>820</v>
      </c>
      <c r="D34" s="72" t="s">
        <v>59</v>
      </c>
      <c r="E34" s="13">
        <v>44518</v>
      </c>
      <c r="F34" s="70" t="s">
        <v>169</v>
      </c>
      <c r="G34" s="13">
        <v>44518</v>
      </c>
      <c r="H34" s="71" t="s">
        <v>681</v>
      </c>
      <c r="I34" s="16">
        <v>31</v>
      </c>
      <c r="J34" s="16">
        <v>31</v>
      </c>
      <c r="K34" s="16">
        <v>15</v>
      </c>
      <c r="L34" s="16">
        <v>12</v>
      </c>
      <c r="M34" s="75">
        <v>3.6037499999999998</v>
      </c>
      <c r="N34" s="109">
        <v>12</v>
      </c>
      <c r="O34" s="58">
        <v>7000</v>
      </c>
      <c r="P34" s="59">
        <f>Table22457891011234567891011121314151617181920212223242526272829303132333435373839[[#This Row],[PEMBULATAN]]*O34</f>
        <v>84000</v>
      </c>
    </row>
    <row r="35" spans="1:16" ht="26.25" customHeight="1" x14ac:dyDescent="0.2">
      <c r="A35" s="104"/>
      <c r="B35" s="104"/>
      <c r="C35" s="67" t="s">
        <v>821</v>
      </c>
      <c r="D35" s="72" t="s">
        <v>59</v>
      </c>
      <c r="E35" s="13">
        <v>44518</v>
      </c>
      <c r="F35" s="70" t="s">
        <v>169</v>
      </c>
      <c r="G35" s="13">
        <v>44518</v>
      </c>
      <c r="H35" s="71" t="s">
        <v>681</v>
      </c>
      <c r="I35" s="16">
        <v>67</v>
      </c>
      <c r="J35" s="16">
        <v>30</v>
      </c>
      <c r="K35" s="16">
        <v>28</v>
      </c>
      <c r="L35" s="16">
        <v>9</v>
      </c>
      <c r="M35" s="75">
        <v>14.07</v>
      </c>
      <c r="N35" s="109">
        <v>14.07</v>
      </c>
      <c r="O35" s="58">
        <v>7000</v>
      </c>
      <c r="P35" s="59">
        <f>Table22457891011234567891011121314151617181920212223242526272829303132333435373839[[#This Row],[PEMBULATAN]]*O35</f>
        <v>98490</v>
      </c>
    </row>
    <row r="36" spans="1:16" ht="26.25" customHeight="1" x14ac:dyDescent="0.2">
      <c r="A36" s="104"/>
      <c r="B36" s="104"/>
      <c r="C36" s="92" t="s">
        <v>822</v>
      </c>
      <c r="D36" s="106" t="s">
        <v>59</v>
      </c>
      <c r="E36" s="93">
        <v>44518</v>
      </c>
      <c r="F36" s="106" t="s">
        <v>169</v>
      </c>
      <c r="G36" s="93">
        <v>44518</v>
      </c>
      <c r="H36" s="92" t="s">
        <v>681</v>
      </c>
      <c r="I36" s="92">
        <v>41</v>
      </c>
      <c r="J36" s="92">
        <v>50</v>
      </c>
      <c r="K36" s="92">
        <v>30</v>
      </c>
      <c r="L36" s="92">
        <v>11</v>
      </c>
      <c r="M36" s="92">
        <v>15.375</v>
      </c>
      <c r="N36" s="109">
        <v>16</v>
      </c>
      <c r="O36" s="58">
        <v>7000</v>
      </c>
      <c r="P36" s="59">
        <f>Table22457891011234567891011121314151617181920212223242526272829303132333435373839[[#This Row],[PEMBULATAN]]*O36</f>
        <v>112000</v>
      </c>
    </row>
    <row r="37" spans="1:16" ht="26.25" customHeight="1" x14ac:dyDescent="0.2">
      <c r="A37" s="104"/>
      <c r="B37" s="104"/>
      <c r="C37" s="92" t="s">
        <v>823</v>
      </c>
      <c r="D37" s="106" t="s">
        <v>59</v>
      </c>
      <c r="E37" s="93">
        <v>44518</v>
      </c>
      <c r="F37" s="106" t="s">
        <v>169</v>
      </c>
      <c r="G37" s="93">
        <v>44518</v>
      </c>
      <c r="H37" s="92" t="s">
        <v>681</v>
      </c>
      <c r="I37" s="92">
        <v>34</v>
      </c>
      <c r="J37" s="92">
        <v>34</v>
      </c>
      <c r="K37" s="92">
        <v>34</v>
      </c>
      <c r="L37" s="92">
        <v>16</v>
      </c>
      <c r="M37" s="92">
        <v>9.8260000000000005</v>
      </c>
      <c r="N37" s="109">
        <v>16</v>
      </c>
      <c r="O37" s="58">
        <v>7000</v>
      </c>
      <c r="P37" s="59">
        <f>Table22457891011234567891011121314151617181920212223242526272829303132333435373839[[#This Row],[PEMBULATAN]]*O37</f>
        <v>112000</v>
      </c>
    </row>
    <row r="38" spans="1:16" ht="26.25" customHeight="1" x14ac:dyDescent="0.2">
      <c r="A38" s="104"/>
      <c r="B38" s="104"/>
      <c r="C38" s="92" t="s">
        <v>824</v>
      </c>
      <c r="D38" s="106" t="s">
        <v>59</v>
      </c>
      <c r="E38" s="93">
        <v>44518</v>
      </c>
      <c r="F38" s="106" t="s">
        <v>169</v>
      </c>
      <c r="G38" s="93">
        <v>44518</v>
      </c>
      <c r="H38" s="92" t="s">
        <v>681</v>
      </c>
      <c r="I38" s="92">
        <v>55</v>
      </c>
      <c r="J38" s="92">
        <v>36</v>
      </c>
      <c r="K38" s="92">
        <v>27</v>
      </c>
      <c r="L38" s="92">
        <v>8</v>
      </c>
      <c r="M38" s="92">
        <v>13.365</v>
      </c>
      <c r="N38" s="109">
        <v>14</v>
      </c>
      <c r="O38" s="58">
        <v>7000</v>
      </c>
      <c r="P38" s="59">
        <f>Table22457891011234567891011121314151617181920212223242526272829303132333435373839[[#This Row],[PEMBULATAN]]*O38</f>
        <v>98000</v>
      </c>
    </row>
    <row r="39" spans="1:16" ht="26.25" customHeight="1" x14ac:dyDescent="0.2">
      <c r="A39" s="104"/>
      <c r="B39" s="105"/>
      <c r="C39" s="92" t="s">
        <v>825</v>
      </c>
      <c r="D39" s="106" t="s">
        <v>59</v>
      </c>
      <c r="E39" s="93">
        <v>44518</v>
      </c>
      <c r="F39" s="106" t="s">
        <v>169</v>
      </c>
      <c r="G39" s="93">
        <v>44518</v>
      </c>
      <c r="H39" s="92" t="s">
        <v>681</v>
      </c>
      <c r="I39" s="92">
        <v>51</v>
      </c>
      <c r="J39" s="92">
        <v>36</v>
      </c>
      <c r="K39" s="92">
        <v>24</v>
      </c>
      <c r="L39" s="92">
        <v>7</v>
      </c>
      <c r="M39" s="92">
        <v>11.016</v>
      </c>
      <c r="N39" s="109">
        <v>11.016</v>
      </c>
      <c r="O39" s="58">
        <v>7000</v>
      </c>
      <c r="P39" s="59">
        <f>Table22457891011234567891011121314151617181920212223242526272829303132333435373839[[#This Row],[PEMBULATAN]]*O39</f>
        <v>77112</v>
      </c>
    </row>
    <row r="40" spans="1:16" ht="26.25" customHeight="1" x14ac:dyDescent="0.2">
      <c r="A40" s="104"/>
      <c r="B40" s="104" t="s">
        <v>826</v>
      </c>
      <c r="C40" s="92" t="s">
        <v>827</v>
      </c>
      <c r="D40" s="106" t="s">
        <v>59</v>
      </c>
      <c r="E40" s="93">
        <v>44518</v>
      </c>
      <c r="F40" s="106" t="s">
        <v>169</v>
      </c>
      <c r="G40" s="93">
        <v>44518</v>
      </c>
      <c r="H40" s="92" t="s">
        <v>681</v>
      </c>
      <c r="I40" s="92">
        <v>33</v>
      </c>
      <c r="J40" s="92">
        <v>20</v>
      </c>
      <c r="K40" s="92">
        <v>10</v>
      </c>
      <c r="L40" s="92">
        <v>1</v>
      </c>
      <c r="M40" s="92">
        <v>1.65</v>
      </c>
      <c r="N40" s="109">
        <v>1.65</v>
      </c>
      <c r="O40" s="58">
        <v>7000</v>
      </c>
      <c r="P40" s="59">
        <f>Table22457891011234567891011121314151617181920212223242526272829303132333435373839[[#This Row],[PEMBULATAN]]*O40</f>
        <v>11550</v>
      </c>
    </row>
    <row r="41" spans="1:16" ht="26.25" customHeight="1" x14ac:dyDescent="0.2">
      <c r="A41" s="104"/>
      <c r="B41" s="104"/>
      <c r="C41" s="92" t="s">
        <v>828</v>
      </c>
      <c r="D41" s="106" t="s">
        <v>59</v>
      </c>
      <c r="E41" s="93">
        <v>44518</v>
      </c>
      <c r="F41" s="106" t="s">
        <v>169</v>
      </c>
      <c r="G41" s="93">
        <v>44518</v>
      </c>
      <c r="H41" s="92" t="s">
        <v>681</v>
      </c>
      <c r="I41" s="92">
        <v>48</v>
      </c>
      <c r="J41" s="92">
        <v>40</v>
      </c>
      <c r="K41" s="92">
        <v>27</v>
      </c>
      <c r="L41" s="92">
        <v>5</v>
      </c>
      <c r="M41" s="92">
        <v>12.96</v>
      </c>
      <c r="N41" s="109">
        <v>12.96</v>
      </c>
      <c r="O41" s="58">
        <v>7000</v>
      </c>
      <c r="P41" s="59">
        <f>Table22457891011234567891011121314151617181920212223242526272829303132333435373839[[#This Row],[PEMBULATAN]]*O41</f>
        <v>90720</v>
      </c>
    </row>
    <row r="42" spans="1:16" ht="26.25" customHeight="1" x14ac:dyDescent="0.2">
      <c r="A42" s="104"/>
      <c r="B42" s="104"/>
      <c r="C42" s="92" t="s">
        <v>829</v>
      </c>
      <c r="D42" s="106" t="s">
        <v>59</v>
      </c>
      <c r="E42" s="93">
        <v>44518</v>
      </c>
      <c r="F42" s="106" t="s">
        <v>169</v>
      </c>
      <c r="G42" s="93">
        <v>44518</v>
      </c>
      <c r="H42" s="92" t="s">
        <v>681</v>
      </c>
      <c r="I42" s="92">
        <v>50</v>
      </c>
      <c r="J42" s="92">
        <v>46</v>
      </c>
      <c r="K42" s="92">
        <v>20</v>
      </c>
      <c r="L42" s="92">
        <v>17</v>
      </c>
      <c r="M42" s="92">
        <v>11.5</v>
      </c>
      <c r="N42" s="109">
        <v>17</v>
      </c>
      <c r="O42" s="58">
        <v>7000</v>
      </c>
      <c r="P42" s="59">
        <f>Table22457891011234567891011121314151617181920212223242526272829303132333435373839[[#This Row],[PEMBULATAN]]*O42</f>
        <v>119000</v>
      </c>
    </row>
    <row r="43" spans="1:16" ht="26.25" customHeight="1" x14ac:dyDescent="0.2">
      <c r="A43" s="104"/>
      <c r="B43" s="104"/>
      <c r="C43" s="92" t="s">
        <v>830</v>
      </c>
      <c r="D43" s="106" t="s">
        <v>59</v>
      </c>
      <c r="E43" s="93">
        <v>44518</v>
      </c>
      <c r="F43" s="106" t="s">
        <v>169</v>
      </c>
      <c r="G43" s="93">
        <v>44518</v>
      </c>
      <c r="H43" s="92" t="s">
        <v>681</v>
      </c>
      <c r="I43" s="92">
        <v>125</v>
      </c>
      <c r="J43" s="92">
        <v>30</v>
      </c>
      <c r="K43" s="92">
        <v>10</v>
      </c>
      <c r="L43" s="92">
        <v>4</v>
      </c>
      <c r="M43" s="92">
        <v>9.375</v>
      </c>
      <c r="N43" s="109">
        <v>10</v>
      </c>
      <c r="O43" s="58">
        <v>7000</v>
      </c>
      <c r="P43" s="59">
        <f>Table22457891011234567891011121314151617181920212223242526272829303132333435373839[[#This Row],[PEMBULATAN]]*O43</f>
        <v>70000</v>
      </c>
    </row>
    <row r="44" spans="1:16" ht="26.25" customHeight="1" x14ac:dyDescent="0.2">
      <c r="A44" s="104"/>
      <c r="B44" s="104"/>
      <c r="C44" s="92" t="s">
        <v>831</v>
      </c>
      <c r="D44" s="106" t="s">
        <v>59</v>
      </c>
      <c r="E44" s="93">
        <v>44518</v>
      </c>
      <c r="F44" s="106" t="s">
        <v>169</v>
      </c>
      <c r="G44" s="93">
        <v>44518</v>
      </c>
      <c r="H44" s="92" t="s">
        <v>681</v>
      </c>
      <c r="I44" s="92">
        <v>46</v>
      </c>
      <c r="J44" s="92">
        <v>35</v>
      </c>
      <c r="K44" s="92">
        <v>26</v>
      </c>
      <c r="L44" s="92">
        <v>9</v>
      </c>
      <c r="M44" s="92">
        <v>10.465</v>
      </c>
      <c r="N44" s="109">
        <v>11</v>
      </c>
      <c r="O44" s="58">
        <v>7000</v>
      </c>
      <c r="P44" s="59">
        <f>Table22457891011234567891011121314151617181920212223242526272829303132333435373839[[#This Row],[PEMBULATAN]]*O44</f>
        <v>77000</v>
      </c>
    </row>
    <row r="45" spans="1:16" ht="26.25" customHeight="1" x14ac:dyDescent="0.2">
      <c r="A45" s="104"/>
      <c r="B45" s="105"/>
      <c r="C45" s="92" t="s">
        <v>832</v>
      </c>
      <c r="D45" s="106" t="s">
        <v>59</v>
      </c>
      <c r="E45" s="93">
        <v>44518</v>
      </c>
      <c r="F45" s="106" t="s">
        <v>169</v>
      </c>
      <c r="G45" s="93">
        <v>44518</v>
      </c>
      <c r="H45" s="92" t="s">
        <v>681</v>
      </c>
      <c r="I45" s="92">
        <v>32</v>
      </c>
      <c r="J45" s="92">
        <v>27</v>
      </c>
      <c r="K45" s="92">
        <v>10</v>
      </c>
      <c r="L45" s="92">
        <v>2</v>
      </c>
      <c r="M45" s="92">
        <v>2.16</v>
      </c>
      <c r="N45" s="109">
        <v>2.16</v>
      </c>
      <c r="O45" s="58">
        <v>7000</v>
      </c>
      <c r="P45" s="59">
        <f>Table22457891011234567891011121314151617181920212223242526272829303132333435373839[[#This Row],[PEMBULATAN]]*O45</f>
        <v>15120.000000000002</v>
      </c>
    </row>
    <row r="46" spans="1:16" ht="26.25" customHeight="1" x14ac:dyDescent="0.2">
      <c r="A46" s="104"/>
      <c r="B46" s="104" t="s">
        <v>833</v>
      </c>
      <c r="C46" s="92" t="s">
        <v>834</v>
      </c>
      <c r="D46" s="106" t="s">
        <v>59</v>
      </c>
      <c r="E46" s="93">
        <v>44518</v>
      </c>
      <c r="F46" s="106" t="s">
        <v>169</v>
      </c>
      <c r="G46" s="93">
        <v>44518</v>
      </c>
      <c r="H46" s="92" t="s">
        <v>681</v>
      </c>
      <c r="I46" s="92">
        <v>27</v>
      </c>
      <c r="J46" s="92">
        <v>20</v>
      </c>
      <c r="K46" s="92">
        <v>10</v>
      </c>
      <c r="L46" s="92">
        <v>4</v>
      </c>
      <c r="M46" s="92">
        <v>1.35</v>
      </c>
      <c r="N46" s="109">
        <v>5</v>
      </c>
      <c r="O46" s="58">
        <v>7000</v>
      </c>
      <c r="P46" s="59">
        <f>Table22457891011234567891011121314151617181920212223242526272829303132333435373839[[#This Row],[PEMBULATAN]]*O46</f>
        <v>35000</v>
      </c>
    </row>
    <row r="47" spans="1:16" ht="26.25" customHeight="1" x14ac:dyDescent="0.2">
      <c r="A47" s="104"/>
      <c r="B47" s="104"/>
      <c r="C47" s="92" t="s">
        <v>835</v>
      </c>
      <c r="D47" s="106" t="s">
        <v>59</v>
      </c>
      <c r="E47" s="93">
        <v>44518</v>
      </c>
      <c r="F47" s="106" t="s">
        <v>169</v>
      </c>
      <c r="G47" s="93">
        <v>44518</v>
      </c>
      <c r="H47" s="92" t="s">
        <v>681</v>
      </c>
      <c r="I47" s="92">
        <v>45</v>
      </c>
      <c r="J47" s="92">
        <v>40</v>
      </c>
      <c r="K47" s="92">
        <v>28</v>
      </c>
      <c r="L47" s="92">
        <v>4</v>
      </c>
      <c r="M47" s="92">
        <v>12.6</v>
      </c>
      <c r="N47" s="109">
        <v>12.6</v>
      </c>
      <c r="O47" s="58">
        <v>7000</v>
      </c>
      <c r="P47" s="59">
        <f>Table22457891011234567891011121314151617181920212223242526272829303132333435373839[[#This Row],[PEMBULATAN]]*O47</f>
        <v>88200</v>
      </c>
    </row>
    <row r="48" spans="1:16" ht="22.5" customHeight="1" x14ac:dyDescent="0.2">
      <c r="A48" s="145" t="s">
        <v>30</v>
      </c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7"/>
      <c r="M48" s="73">
        <f>SUBTOTAL(109,Table22457891011234567891011121314151617181920212223242526272829303132333435373839[KG VOLUME])</f>
        <v>605.81225000000006</v>
      </c>
      <c r="N48" s="62">
        <f>SUM(N3:N47)</f>
        <v>672.6557499999999</v>
      </c>
      <c r="O48" s="148">
        <f>SUM(P3:P47)</f>
        <v>4708590.25</v>
      </c>
      <c r="P48" s="149"/>
    </row>
    <row r="49" spans="1:16" ht="18" customHeight="1" x14ac:dyDescent="0.2">
      <c r="A49" s="80"/>
      <c r="B49" s="50" t="s">
        <v>42</v>
      </c>
      <c r="C49" s="49"/>
      <c r="D49" s="51" t="s">
        <v>43</v>
      </c>
      <c r="E49" s="80"/>
      <c r="F49" s="80"/>
      <c r="G49" s="80"/>
      <c r="H49" s="80"/>
      <c r="I49" s="80"/>
      <c r="J49" s="80"/>
      <c r="K49" s="80"/>
      <c r="L49" s="80"/>
      <c r="M49" s="81"/>
      <c r="N49" s="82" t="s">
        <v>52</v>
      </c>
      <c r="O49" s="83"/>
      <c r="P49" s="83">
        <v>0</v>
      </c>
    </row>
    <row r="50" spans="1:16" ht="18" customHeight="1" thickBot="1" x14ac:dyDescent="0.25">
      <c r="A50" s="80"/>
      <c r="B50" s="50"/>
      <c r="C50" s="49"/>
      <c r="D50" s="51"/>
      <c r="E50" s="80"/>
      <c r="F50" s="80"/>
      <c r="G50" s="80"/>
      <c r="H50" s="80"/>
      <c r="I50" s="80"/>
      <c r="J50" s="80"/>
      <c r="K50" s="80"/>
      <c r="L50" s="80"/>
      <c r="M50" s="81"/>
      <c r="N50" s="84" t="s">
        <v>53</v>
      </c>
      <c r="O50" s="85"/>
      <c r="P50" s="85">
        <f>O48-P49</f>
        <v>4708590.25</v>
      </c>
    </row>
    <row r="51" spans="1:16" ht="18" customHeight="1" x14ac:dyDescent="0.2">
      <c r="A51" s="11"/>
      <c r="H51" s="57"/>
      <c r="N51" s="56" t="s">
        <v>31</v>
      </c>
      <c r="P51" s="63">
        <f>P50*1%</f>
        <v>47085.902500000004</v>
      </c>
    </row>
    <row r="52" spans="1:16" ht="18" customHeight="1" thickBot="1" x14ac:dyDescent="0.25">
      <c r="A52" s="11"/>
      <c r="H52" s="57"/>
      <c r="N52" s="56" t="s">
        <v>54</v>
      </c>
      <c r="P52" s="65">
        <f>P50*2%</f>
        <v>94171.805000000008</v>
      </c>
    </row>
    <row r="53" spans="1:16" ht="18" customHeight="1" x14ac:dyDescent="0.2">
      <c r="A53" s="11"/>
      <c r="H53" s="57"/>
      <c r="N53" s="60" t="s">
        <v>32</v>
      </c>
      <c r="O53" s="61"/>
      <c r="P53" s="64">
        <f>P50+P51-P52</f>
        <v>4661504.3475000001</v>
      </c>
    </row>
    <row r="55" spans="1:16" x14ac:dyDescent="0.2">
      <c r="A55" s="11"/>
      <c r="H55" s="57"/>
      <c r="P55" s="65"/>
    </row>
    <row r="56" spans="1:16" x14ac:dyDescent="0.2">
      <c r="A56" s="11"/>
      <c r="H56" s="57"/>
      <c r="O56" s="52"/>
      <c r="P56" s="65"/>
    </row>
    <row r="57" spans="1:16" s="3" customFormat="1" x14ac:dyDescent="0.25">
      <c r="A57" s="11"/>
      <c r="B57" s="2"/>
      <c r="C57" s="2"/>
      <c r="E57" s="12"/>
      <c r="H57" s="57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57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57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57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57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57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57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57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57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57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57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57"/>
      <c r="N68" s="15"/>
      <c r="O68" s="15"/>
      <c r="P68" s="15"/>
    </row>
  </sheetData>
  <mergeCells count="2">
    <mergeCell ref="A48:L48"/>
    <mergeCell ref="O48:P48"/>
  </mergeCells>
  <conditionalFormatting sqref="C3:C47">
    <cfRule type="duplicateValues" dxfId="63" priority="1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5"/>
  <sheetViews>
    <sheetView zoomScale="110" zoomScaleNormal="110" workbookViewId="0">
      <pane xSplit="3" ySplit="2" topLeftCell="D24" activePane="bottomRight" state="frozen"/>
      <selection pane="topRight" activeCell="B1" sqref="B1"/>
      <selection pane="bottomLeft" activeCell="A3" sqref="A3"/>
      <selection pane="bottomRight" activeCell="F29" sqref="F2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116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3.25" customHeight="1" x14ac:dyDescent="0.2">
      <c r="A3" s="115">
        <v>402447</v>
      </c>
      <c r="B3" s="68" t="s">
        <v>72</v>
      </c>
      <c r="C3" s="9" t="s">
        <v>73</v>
      </c>
      <c r="D3" s="70" t="s">
        <v>59</v>
      </c>
      <c r="E3" s="13">
        <v>44502</v>
      </c>
      <c r="F3" s="70" t="s">
        <v>60</v>
      </c>
      <c r="G3" s="13">
        <v>44503</v>
      </c>
      <c r="H3" s="10" t="s">
        <v>61</v>
      </c>
      <c r="I3" s="1">
        <v>77</v>
      </c>
      <c r="J3" s="1">
        <v>50</v>
      </c>
      <c r="K3" s="1">
        <v>61</v>
      </c>
      <c r="L3" s="1">
        <v>36</v>
      </c>
      <c r="M3" s="74">
        <v>58.712499999999999</v>
      </c>
      <c r="N3" s="90">
        <v>58.712499999999999</v>
      </c>
      <c r="O3" s="58">
        <v>7000</v>
      </c>
      <c r="P3" s="59">
        <f>Table22457891011234[[#This Row],[PEMBULATAN]]*O3</f>
        <v>410987.5</v>
      </c>
    </row>
    <row r="4" spans="1:16" ht="23.25" customHeight="1" x14ac:dyDescent="0.2">
      <c r="A4" s="14"/>
      <c r="B4" s="69"/>
      <c r="C4" s="9" t="s">
        <v>74</v>
      </c>
      <c r="D4" s="70" t="s">
        <v>59</v>
      </c>
      <c r="E4" s="13">
        <v>44502</v>
      </c>
      <c r="F4" s="70" t="s">
        <v>60</v>
      </c>
      <c r="G4" s="13">
        <v>44503</v>
      </c>
      <c r="H4" s="10" t="s">
        <v>61</v>
      </c>
      <c r="I4" s="1">
        <v>45</v>
      </c>
      <c r="J4" s="1">
        <v>38</v>
      </c>
      <c r="K4" s="1">
        <v>30</v>
      </c>
      <c r="L4" s="1">
        <v>14</v>
      </c>
      <c r="M4" s="74">
        <v>12.824999999999999</v>
      </c>
      <c r="N4" s="90">
        <v>14</v>
      </c>
      <c r="O4" s="58">
        <v>7000</v>
      </c>
      <c r="P4" s="59">
        <f>Table22457891011234[[#This Row],[PEMBULATAN]]*O4</f>
        <v>98000</v>
      </c>
    </row>
    <row r="5" spans="1:16" ht="23.25" customHeight="1" x14ac:dyDescent="0.2">
      <c r="A5" s="14"/>
      <c r="B5" s="14"/>
      <c r="C5" s="9" t="s">
        <v>75</v>
      </c>
      <c r="D5" s="70" t="s">
        <v>59</v>
      </c>
      <c r="E5" s="13">
        <v>44502</v>
      </c>
      <c r="F5" s="70" t="s">
        <v>60</v>
      </c>
      <c r="G5" s="13">
        <v>44503</v>
      </c>
      <c r="H5" s="10" t="s">
        <v>61</v>
      </c>
      <c r="I5" s="1">
        <v>88</v>
      </c>
      <c r="J5" s="1">
        <v>67</v>
      </c>
      <c r="K5" s="1">
        <v>30</v>
      </c>
      <c r="L5" s="1">
        <v>41</v>
      </c>
      <c r="M5" s="74">
        <v>44.22</v>
      </c>
      <c r="N5" s="90">
        <v>44.22</v>
      </c>
      <c r="O5" s="58">
        <v>7000</v>
      </c>
      <c r="P5" s="59">
        <f>Table22457891011234[[#This Row],[PEMBULATAN]]*O5</f>
        <v>309540</v>
      </c>
    </row>
    <row r="6" spans="1:16" ht="23.25" customHeight="1" x14ac:dyDescent="0.2">
      <c r="A6" s="14"/>
      <c r="B6" s="14"/>
      <c r="C6" s="67" t="s">
        <v>76</v>
      </c>
      <c r="D6" s="72" t="s">
        <v>59</v>
      </c>
      <c r="E6" s="13">
        <v>44502</v>
      </c>
      <c r="F6" s="70" t="s">
        <v>60</v>
      </c>
      <c r="G6" s="13">
        <v>44503</v>
      </c>
      <c r="H6" s="71" t="s">
        <v>61</v>
      </c>
      <c r="I6" s="16">
        <v>47</v>
      </c>
      <c r="J6" s="16">
        <v>44</v>
      </c>
      <c r="K6" s="16">
        <v>36</v>
      </c>
      <c r="L6" s="16">
        <v>9</v>
      </c>
      <c r="M6" s="75">
        <v>18.611999999999998</v>
      </c>
      <c r="N6" s="90">
        <v>18.611999999999998</v>
      </c>
      <c r="O6" s="58">
        <v>7000</v>
      </c>
      <c r="P6" s="59">
        <f>Table22457891011234[[#This Row],[PEMBULATAN]]*O6</f>
        <v>130283.99999999999</v>
      </c>
    </row>
    <row r="7" spans="1:16" ht="23.25" customHeight="1" x14ac:dyDescent="0.2">
      <c r="A7" s="14"/>
      <c r="B7" s="14"/>
      <c r="C7" s="67" t="s">
        <v>77</v>
      </c>
      <c r="D7" s="72" t="s">
        <v>59</v>
      </c>
      <c r="E7" s="13">
        <v>44502</v>
      </c>
      <c r="F7" s="70" t="s">
        <v>60</v>
      </c>
      <c r="G7" s="13">
        <v>44503</v>
      </c>
      <c r="H7" s="71" t="s">
        <v>61</v>
      </c>
      <c r="I7" s="16">
        <v>62</v>
      </c>
      <c r="J7" s="16">
        <v>58</v>
      </c>
      <c r="K7" s="16">
        <v>25</v>
      </c>
      <c r="L7" s="16">
        <v>12</v>
      </c>
      <c r="M7" s="75">
        <v>22.475000000000001</v>
      </c>
      <c r="N7" s="90">
        <v>23</v>
      </c>
      <c r="O7" s="58">
        <v>7000</v>
      </c>
      <c r="P7" s="59">
        <f>Table22457891011234[[#This Row],[PEMBULATAN]]*O7</f>
        <v>161000</v>
      </c>
    </row>
    <row r="8" spans="1:16" ht="23.25" customHeight="1" x14ac:dyDescent="0.2">
      <c r="A8" s="14"/>
      <c r="B8" s="14"/>
      <c r="C8" s="67" t="s">
        <v>78</v>
      </c>
      <c r="D8" s="72" t="s">
        <v>59</v>
      </c>
      <c r="E8" s="13">
        <v>44502</v>
      </c>
      <c r="F8" s="70" t="s">
        <v>60</v>
      </c>
      <c r="G8" s="13">
        <v>44503</v>
      </c>
      <c r="H8" s="71" t="s">
        <v>61</v>
      </c>
      <c r="I8" s="16">
        <v>36</v>
      </c>
      <c r="J8" s="16">
        <v>27</v>
      </c>
      <c r="K8" s="16">
        <v>25</v>
      </c>
      <c r="L8" s="16">
        <v>13</v>
      </c>
      <c r="M8" s="75">
        <v>6.0750000000000002</v>
      </c>
      <c r="N8" s="90">
        <v>13</v>
      </c>
      <c r="O8" s="58">
        <v>7000</v>
      </c>
      <c r="P8" s="59">
        <f>Table22457891011234[[#This Row],[PEMBULATAN]]*O8</f>
        <v>91000</v>
      </c>
    </row>
    <row r="9" spans="1:16" ht="23.25" customHeight="1" x14ac:dyDescent="0.2">
      <c r="A9" s="14"/>
      <c r="B9" s="14"/>
      <c r="C9" s="67" t="s">
        <v>79</v>
      </c>
      <c r="D9" s="72" t="s">
        <v>59</v>
      </c>
      <c r="E9" s="13">
        <v>44502</v>
      </c>
      <c r="F9" s="70" t="s">
        <v>60</v>
      </c>
      <c r="G9" s="13">
        <v>44503</v>
      </c>
      <c r="H9" s="71" t="s">
        <v>61</v>
      </c>
      <c r="I9" s="16">
        <v>43</v>
      </c>
      <c r="J9" s="16">
        <v>32</v>
      </c>
      <c r="K9" s="16">
        <v>14</v>
      </c>
      <c r="L9" s="16">
        <v>9</v>
      </c>
      <c r="M9" s="75">
        <v>4.8159999999999998</v>
      </c>
      <c r="N9" s="90">
        <v>9</v>
      </c>
      <c r="O9" s="58">
        <v>7000</v>
      </c>
      <c r="P9" s="59">
        <f>Table22457891011234[[#This Row],[PEMBULATAN]]*O9</f>
        <v>63000</v>
      </c>
    </row>
    <row r="10" spans="1:16" ht="23.25" customHeight="1" x14ac:dyDescent="0.2">
      <c r="A10" s="14"/>
      <c r="B10" s="14"/>
      <c r="C10" s="67" t="s">
        <v>80</v>
      </c>
      <c r="D10" s="72" t="s">
        <v>59</v>
      </c>
      <c r="E10" s="13">
        <v>44502</v>
      </c>
      <c r="F10" s="70" t="s">
        <v>60</v>
      </c>
      <c r="G10" s="13">
        <v>44503</v>
      </c>
      <c r="H10" s="71" t="s">
        <v>61</v>
      </c>
      <c r="I10" s="16">
        <v>36</v>
      </c>
      <c r="J10" s="16">
        <v>20</v>
      </c>
      <c r="K10" s="16">
        <v>15</v>
      </c>
      <c r="L10" s="16">
        <v>3</v>
      </c>
      <c r="M10" s="75">
        <v>2.7</v>
      </c>
      <c r="N10" s="90">
        <v>3</v>
      </c>
      <c r="O10" s="58">
        <v>7000</v>
      </c>
      <c r="P10" s="59">
        <f>Table22457891011234[[#This Row],[PEMBULATAN]]*O10</f>
        <v>21000</v>
      </c>
    </row>
    <row r="11" spans="1:16" ht="23.25" customHeight="1" x14ac:dyDescent="0.2">
      <c r="A11" s="14"/>
      <c r="B11" s="14"/>
      <c r="C11" s="67" t="s">
        <v>81</v>
      </c>
      <c r="D11" s="72" t="s">
        <v>59</v>
      </c>
      <c r="E11" s="13">
        <v>44502</v>
      </c>
      <c r="F11" s="70" t="s">
        <v>60</v>
      </c>
      <c r="G11" s="13">
        <v>44503</v>
      </c>
      <c r="H11" s="71" t="s">
        <v>61</v>
      </c>
      <c r="I11" s="16">
        <v>38</v>
      </c>
      <c r="J11" s="16">
        <v>28</v>
      </c>
      <c r="K11" s="16">
        <v>25</v>
      </c>
      <c r="L11" s="16">
        <v>7</v>
      </c>
      <c r="M11" s="75">
        <v>6.65</v>
      </c>
      <c r="N11" s="90">
        <v>7</v>
      </c>
      <c r="O11" s="58">
        <v>7000</v>
      </c>
      <c r="P11" s="59">
        <f>Table22457891011234[[#This Row],[PEMBULATAN]]*O11</f>
        <v>49000</v>
      </c>
    </row>
    <row r="12" spans="1:16" ht="23.25" customHeight="1" x14ac:dyDescent="0.2">
      <c r="A12" s="14"/>
      <c r="B12" s="14"/>
      <c r="C12" s="67" t="s">
        <v>82</v>
      </c>
      <c r="D12" s="72" t="s">
        <v>59</v>
      </c>
      <c r="E12" s="13">
        <v>44502</v>
      </c>
      <c r="F12" s="70" t="s">
        <v>60</v>
      </c>
      <c r="G12" s="13">
        <v>44503</v>
      </c>
      <c r="H12" s="71" t="s">
        <v>61</v>
      </c>
      <c r="I12" s="16">
        <v>38</v>
      </c>
      <c r="J12" s="16">
        <v>25</v>
      </c>
      <c r="K12" s="16">
        <v>30</v>
      </c>
      <c r="L12" s="16">
        <v>7</v>
      </c>
      <c r="M12" s="75">
        <v>7.125</v>
      </c>
      <c r="N12" s="90">
        <v>7.125</v>
      </c>
      <c r="O12" s="58">
        <v>7000</v>
      </c>
      <c r="P12" s="59">
        <f>Table22457891011234[[#This Row],[PEMBULATAN]]*O12</f>
        <v>49875</v>
      </c>
    </row>
    <row r="13" spans="1:16" ht="23.25" customHeight="1" x14ac:dyDescent="0.2">
      <c r="A13" s="14"/>
      <c r="B13" s="14"/>
      <c r="C13" s="67" t="s">
        <v>83</v>
      </c>
      <c r="D13" s="72" t="s">
        <v>59</v>
      </c>
      <c r="E13" s="13">
        <v>44502</v>
      </c>
      <c r="F13" s="70" t="s">
        <v>60</v>
      </c>
      <c r="G13" s="13">
        <v>44503</v>
      </c>
      <c r="H13" s="71" t="s">
        <v>61</v>
      </c>
      <c r="I13" s="16">
        <v>37</v>
      </c>
      <c r="J13" s="16">
        <v>16</v>
      </c>
      <c r="K13" s="16">
        <v>10</v>
      </c>
      <c r="L13" s="16">
        <v>1</v>
      </c>
      <c r="M13" s="75">
        <v>1.48</v>
      </c>
      <c r="N13" s="90">
        <v>2</v>
      </c>
      <c r="O13" s="58">
        <v>7000</v>
      </c>
      <c r="P13" s="59">
        <f>Table22457891011234[[#This Row],[PEMBULATAN]]*O13</f>
        <v>14000</v>
      </c>
    </row>
    <row r="14" spans="1:16" ht="23.25" customHeight="1" x14ac:dyDescent="0.2">
      <c r="A14" s="14"/>
      <c r="B14" s="14"/>
      <c r="C14" s="67" t="s">
        <v>84</v>
      </c>
      <c r="D14" s="72" t="s">
        <v>59</v>
      </c>
      <c r="E14" s="13">
        <v>44502</v>
      </c>
      <c r="F14" s="70" t="s">
        <v>60</v>
      </c>
      <c r="G14" s="13">
        <v>44503</v>
      </c>
      <c r="H14" s="71" t="s">
        <v>61</v>
      </c>
      <c r="I14" s="16">
        <v>18</v>
      </c>
      <c r="J14" s="16">
        <v>18</v>
      </c>
      <c r="K14" s="16">
        <v>7</v>
      </c>
      <c r="L14" s="16">
        <v>1</v>
      </c>
      <c r="M14" s="75">
        <v>0.56699999999999995</v>
      </c>
      <c r="N14" s="90">
        <v>1</v>
      </c>
      <c r="O14" s="58">
        <v>7000</v>
      </c>
      <c r="P14" s="59">
        <f>Table22457891011234[[#This Row],[PEMBULATAN]]*O14</f>
        <v>7000</v>
      </c>
    </row>
    <row r="15" spans="1:16" ht="23.25" customHeight="1" x14ac:dyDescent="0.2">
      <c r="A15" s="14"/>
      <c r="B15" s="14"/>
      <c r="C15" s="67" t="s">
        <v>85</v>
      </c>
      <c r="D15" s="72" t="s">
        <v>59</v>
      </c>
      <c r="E15" s="13">
        <v>44502</v>
      </c>
      <c r="F15" s="70" t="s">
        <v>60</v>
      </c>
      <c r="G15" s="13">
        <v>44503</v>
      </c>
      <c r="H15" s="71" t="s">
        <v>61</v>
      </c>
      <c r="I15" s="16">
        <v>51</v>
      </c>
      <c r="J15" s="16">
        <v>38</v>
      </c>
      <c r="K15" s="16">
        <v>35</v>
      </c>
      <c r="L15" s="16">
        <v>9</v>
      </c>
      <c r="M15" s="75">
        <v>16.9575</v>
      </c>
      <c r="N15" s="90">
        <v>16.9575</v>
      </c>
      <c r="O15" s="58">
        <v>7000</v>
      </c>
      <c r="P15" s="59">
        <f>Table22457891011234[[#This Row],[PEMBULATAN]]*O15</f>
        <v>118702.5</v>
      </c>
    </row>
    <row r="16" spans="1:16" ht="23.25" customHeight="1" x14ac:dyDescent="0.2">
      <c r="A16" s="14"/>
      <c r="B16" s="14"/>
      <c r="C16" s="67" t="s">
        <v>86</v>
      </c>
      <c r="D16" s="72" t="s">
        <v>59</v>
      </c>
      <c r="E16" s="13">
        <v>44502</v>
      </c>
      <c r="F16" s="70" t="s">
        <v>60</v>
      </c>
      <c r="G16" s="13">
        <v>44503</v>
      </c>
      <c r="H16" s="71" t="s">
        <v>61</v>
      </c>
      <c r="I16" s="16">
        <v>52</v>
      </c>
      <c r="J16" s="16">
        <v>52</v>
      </c>
      <c r="K16" s="16">
        <v>22</v>
      </c>
      <c r="L16" s="16">
        <v>9</v>
      </c>
      <c r="M16" s="75">
        <v>14.872</v>
      </c>
      <c r="N16" s="90">
        <v>14.872</v>
      </c>
      <c r="O16" s="58">
        <v>7000</v>
      </c>
      <c r="P16" s="59">
        <f>Table22457891011234[[#This Row],[PEMBULATAN]]*O16</f>
        <v>104104</v>
      </c>
    </row>
    <row r="17" spans="1:16" ht="23.25" customHeight="1" x14ac:dyDescent="0.2">
      <c r="A17" s="14"/>
      <c r="B17" s="14"/>
      <c r="C17" s="67" t="s">
        <v>87</v>
      </c>
      <c r="D17" s="72" t="s">
        <v>59</v>
      </c>
      <c r="E17" s="13">
        <v>44502</v>
      </c>
      <c r="F17" s="70" t="s">
        <v>60</v>
      </c>
      <c r="G17" s="13">
        <v>44503</v>
      </c>
      <c r="H17" s="71" t="s">
        <v>61</v>
      </c>
      <c r="I17" s="16">
        <v>44</v>
      </c>
      <c r="J17" s="16">
        <v>33</v>
      </c>
      <c r="K17" s="16">
        <v>25</v>
      </c>
      <c r="L17" s="16">
        <v>10</v>
      </c>
      <c r="M17" s="75">
        <v>9.0749999999999993</v>
      </c>
      <c r="N17" s="90">
        <v>10</v>
      </c>
      <c r="O17" s="58">
        <v>7000</v>
      </c>
      <c r="P17" s="59">
        <f>Table22457891011234[[#This Row],[PEMBULATAN]]*O17</f>
        <v>70000</v>
      </c>
    </row>
    <row r="18" spans="1:16" ht="23.25" customHeight="1" x14ac:dyDescent="0.2">
      <c r="A18" s="14"/>
      <c r="B18" s="14"/>
      <c r="C18" s="67" t="s">
        <v>88</v>
      </c>
      <c r="D18" s="72" t="s">
        <v>59</v>
      </c>
      <c r="E18" s="13">
        <v>44502</v>
      </c>
      <c r="F18" s="70" t="s">
        <v>60</v>
      </c>
      <c r="G18" s="13">
        <v>44503</v>
      </c>
      <c r="H18" s="71" t="s">
        <v>61</v>
      </c>
      <c r="I18" s="16">
        <v>46</v>
      </c>
      <c r="J18" s="16">
        <v>37</v>
      </c>
      <c r="K18" s="16">
        <v>28</v>
      </c>
      <c r="L18" s="16">
        <v>14</v>
      </c>
      <c r="M18" s="75">
        <v>11.914</v>
      </c>
      <c r="N18" s="90">
        <v>14</v>
      </c>
      <c r="O18" s="58">
        <v>7000</v>
      </c>
      <c r="P18" s="59">
        <f>Table22457891011234[[#This Row],[PEMBULATAN]]*O18</f>
        <v>98000</v>
      </c>
    </row>
    <row r="19" spans="1:16" ht="23.25" customHeight="1" x14ac:dyDescent="0.2">
      <c r="A19" s="14"/>
      <c r="B19" s="14"/>
      <c r="C19" s="67" t="s">
        <v>89</v>
      </c>
      <c r="D19" s="72" t="s">
        <v>59</v>
      </c>
      <c r="E19" s="13">
        <v>44502</v>
      </c>
      <c r="F19" s="70" t="s">
        <v>60</v>
      </c>
      <c r="G19" s="13">
        <v>44503</v>
      </c>
      <c r="H19" s="71" t="s">
        <v>61</v>
      </c>
      <c r="I19" s="16">
        <v>50</v>
      </c>
      <c r="J19" s="16">
        <v>46</v>
      </c>
      <c r="K19" s="16">
        <v>52</v>
      </c>
      <c r="L19" s="16">
        <v>27</v>
      </c>
      <c r="M19" s="75">
        <v>29.9</v>
      </c>
      <c r="N19" s="90">
        <v>29.9</v>
      </c>
      <c r="O19" s="58">
        <v>7000</v>
      </c>
      <c r="P19" s="59">
        <f>Table22457891011234[[#This Row],[PEMBULATAN]]*O19</f>
        <v>209300</v>
      </c>
    </row>
    <row r="20" spans="1:16" ht="23.25" customHeight="1" x14ac:dyDescent="0.2">
      <c r="A20" s="14"/>
      <c r="B20" s="107"/>
      <c r="C20" s="67" t="s">
        <v>90</v>
      </c>
      <c r="D20" s="72" t="s">
        <v>59</v>
      </c>
      <c r="E20" s="13">
        <v>44502</v>
      </c>
      <c r="F20" s="70" t="s">
        <v>60</v>
      </c>
      <c r="G20" s="13">
        <v>44503</v>
      </c>
      <c r="H20" s="71" t="s">
        <v>61</v>
      </c>
      <c r="I20" s="16">
        <v>143</v>
      </c>
      <c r="J20" s="16">
        <v>46</v>
      </c>
      <c r="K20" s="16">
        <v>10</v>
      </c>
      <c r="L20" s="16">
        <v>14</v>
      </c>
      <c r="M20" s="75">
        <v>16.445</v>
      </c>
      <c r="N20" s="90">
        <v>17</v>
      </c>
      <c r="O20" s="58">
        <v>7000</v>
      </c>
      <c r="P20" s="59">
        <f>Table22457891011234[[#This Row],[PEMBULATAN]]*O20</f>
        <v>119000</v>
      </c>
    </row>
    <row r="21" spans="1:16" ht="23.25" customHeight="1" x14ac:dyDescent="0.2">
      <c r="A21" s="14"/>
      <c r="B21" s="107" t="s">
        <v>91</v>
      </c>
      <c r="C21" s="67" t="s">
        <v>92</v>
      </c>
      <c r="D21" s="72" t="s">
        <v>59</v>
      </c>
      <c r="E21" s="13">
        <v>44502</v>
      </c>
      <c r="F21" s="70" t="s">
        <v>60</v>
      </c>
      <c r="G21" s="13">
        <v>44503</v>
      </c>
      <c r="H21" s="71" t="s">
        <v>61</v>
      </c>
      <c r="I21" s="16">
        <v>53</v>
      </c>
      <c r="J21" s="16">
        <v>53</v>
      </c>
      <c r="K21" s="16">
        <v>9</v>
      </c>
      <c r="L21" s="16">
        <v>9</v>
      </c>
      <c r="M21" s="75">
        <v>6.3202499999999997</v>
      </c>
      <c r="N21" s="90">
        <v>9</v>
      </c>
      <c r="O21" s="58">
        <v>7000</v>
      </c>
      <c r="P21" s="59">
        <f>Table22457891011234[[#This Row],[PEMBULATAN]]*O21</f>
        <v>63000</v>
      </c>
    </row>
    <row r="22" spans="1:16" ht="23.25" customHeight="1" x14ac:dyDescent="0.2">
      <c r="A22" s="14"/>
      <c r="B22" s="14" t="s">
        <v>93</v>
      </c>
      <c r="C22" s="67" t="s">
        <v>94</v>
      </c>
      <c r="D22" s="72" t="s">
        <v>59</v>
      </c>
      <c r="E22" s="13">
        <v>44502</v>
      </c>
      <c r="F22" s="70" t="s">
        <v>60</v>
      </c>
      <c r="G22" s="13">
        <v>44503</v>
      </c>
      <c r="H22" s="71" t="s">
        <v>61</v>
      </c>
      <c r="I22" s="16">
        <v>50</v>
      </c>
      <c r="J22" s="16">
        <v>30</v>
      </c>
      <c r="K22" s="16">
        <v>23</v>
      </c>
      <c r="L22" s="16">
        <v>2</v>
      </c>
      <c r="M22" s="75">
        <v>8.625</v>
      </c>
      <c r="N22" s="90">
        <v>8.625</v>
      </c>
      <c r="O22" s="58">
        <v>7000</v>
      </c>
      <c r="P22" s="59">
        <f>Table22457891011234[[#This Row],[PEMBULATAN]]*O22</f>
        <v>60375</v>
      </c>
    </row>
    <row r="23" spans="1:16" ht="23.25" customHeight="1" x14ac:dyDescent="0.2">
      <c r="A23" s="14"/>
      <c r="B23" s="14"/>
      <c r="C23" s="67" t="s">
        <v>95</v>
      </c>
      <c r="D23" s="72" t="s">
        <v>59</v>
      </c>
      <c r="E23" s="13">
        <v>44502</v>
      </c>
      <c r="F23" s="70" t="s">
        <v>60</v>
      </c>
      <c r="G23" s="13">
        <v>44503</v>
      </c>
      <c r="H23" s="71" t="s">
        <v>61</v>
      </c>
      <c r="I23" s="16">
        <v>51</v>
      </c>
      <c r="J23" s="16">
        <v>30</v>
      </c>
      <c r="K23" s="16">
        <v>25</v>
      </c>
      <c r="L23" s="16">
        <v>2</v>
      </c>
      <c r="M23" s="75">
        <v>9.5625</v>
      </c>
      <c r="N23" s="90">
        <v>9.5625</v>
      </c>
      <c r="O23" s="58">
        <v>7000</v>
      </c>
      <c r="P23" s="59">
        <f>Table22457891011234[[#This Row],[PEMBULATAN]]*O23</f>
        <v>66937.5</v>
      </c>
    </row>
    <row r="24" spans="1:16" ht="23.25" customHeight="1" x14ac:dyDescent="0.2">
      <c r="A24" s="14"/>
      <c r="B24" s="14"/>
      <c r="C24" s="67" t="s">
        <v>96</v>
      </c>
      <c r="D24" s="72" t="s">
        <v>59</v>
      </c>
      <c r="E24" s="13">
        <v>44502</v>
      </c>
      <c r="F24" s="70" t="s">
        <v>60</v>
      </c>
      <c r="G24" s="13">
        <v>44503</v>
      </c>
      <c r="H24" s="71" t="s">
        <v>61</v>
      </c>
      <c r="I24" s="16">
        <v>28</v>
      </c>
      <c r="J24" s="16">
        <v>22</v>
      </c>
      <c r="K24" s="16">
        <v>15</v>
      </c>
      <c r="L24" s="16">
        <v>3</v>
      </c>
      <c r="M24" s="75">
        <v>2.31</v>
      </c>
      <c r="N24" s="90">
        <v>3</v>
      </c>
      <c r="O24" s="58">
        <v>7000</v>
      </c>
      <c r="P24" s="59">
        <f>Table22457891011234[[#This Row],[PEMBULATAN]]*O24</f>
        <v>21000</v>
      </c>
    </row>
    <row r="25" spans="1:16" ht="22.5" customHeight="1" x14ac:dyDescent="0.2">
      <c r="A25" s="145" t="s">
        <v>30</v>
      </c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7"/>
      <c r="M25" s="73">
        <f>SUBTOTAL(109,Table22457891011234[KG VOLUME])</f>
        <v>312.23874999999992</v>
      </c>
      <c r="N25" s="62">
        <f>SUM(N3:N24)</f>
        <v>333.5865</v>
      </c>
      <c r="O25" s="148">
        <f>SUM(P3:P24)</f>
        <v>2335105.5</v>
      </c>
      <c r="P25" s="149"/>
    </row>
    <row r="26" spans="1:16" ht="18" customHeight="1" x14ac:dyDescent="0.2">
      <c r="A26" s="80"/>
      <c r="B26" s="50" t="s">
        <v>42</v>
      </c>
      <c r="C26" s="49"/>
      <c r="D26" s="51" t="s">
        <v>43</v>
      </c>
      <c r="E26" s="80"/>
      <c r="F26" s="80"/>
      <c r="G26" s="80"/>
      <c r="H26" s="80"/>
      <c r="I26" s="80"/>
      <c r="J26" s="80"/>
      <c r="K26" s="80"/>
      <c r="L26" s="80"/>
      <c r="M26" s="81"/>
      <c r="N26" s="82" t="s">
        <v>52</v>
      </c>
      <c r="O26" s="83"/>
      <c r="P26" s="83">
        <v>0</v>
      </c>
    </row>
    <row r="27" spans="1:16" ht="18" customHeight="1" thickBot="1" x14ac:dyDescent="0.25">
      <c r="A27" s="80"/>
      <c r="B27" s="50"/>
      <c r="C27" s="49"/>
      <c r="D27" s="51"/>
      <c r="E27" s="80"/>
      <c r="F27" s="80"/>
      <c r="G27" s="80"/>
      <c r="H27" s="80"/>
      <c r="I27" s="80"/>
      <c r="J27" s="80"/>
      <c r="K27" s="80"/>
      <c r="L27" s="80"/>
      <c r="M27" s="81"/>
      <c r="N27" s="84" t="s">
        <v>53</v>
      </c>
      <c r="O27" s="85"/>
      <c r="P27" s="85">
        <f>O25-P26</f>
        <v>2335105.5</v>
      </c>
    </row>
    <row r="28" spans="1:16" ht="18" customHeight="1" x14ac:dyDescent="0.2">
      <c r="A28" s="11"/>
      <c r="H28" s="57"/>
      <c r="N28" s="56" t="s">
        <v>31</v>
      </c>
      <c r="P28" s="63">
        <f>P27*1%</f>
        <v>23351.055</v>
      </c>
    </row>
    <row r="29" spans="1:16" ht="18" customHeight="1" thickBot="1" x14ac:dyDescent="0.25">
      <c r="A29" s="11"/>
      <c r="H29" s="57"/>
      <c r="N29" s="56" t="s">
        <v>54</v>
      </c>
      <c r="P29" s="65">
        <f>P27*2%</f>
        <v>46702.11</v>
      </c>
    </row>
    <row r="30" spans="1:16" ht="18" customHeight="1" x14ac:dyDescent="0.2">
      <c r="A30" s="11"/>
      <c r="H30" s="57"/>
      <c r="N30" s="60" t="s">
        <v>32</v>
      </c>
      <c r="O30" s="61"/>
      <c r="P30" s="64">
        <f>P27+P28-P29</f>
        <v>2311754.4450000003</v>
      </c>
    </row>
    <row r="32" spans="1:16" x14ac:dyDescent="0.2">
      <c r="A32" s="11"/>
      <c r="H32" s="57"/>
      <c r="P32" s="65"/>
    </row>
    <row r="33" spans="1:16" x14ac:dyDescent="0.2">
      <c r="A33" s="11"/>
      <c r="H33" s="57"/>
      <c r="O33" s="52"/>
      <c r="P33" s="65"/>
    </row>
    <row r="34" spans="1:16" s="3" customFormat="1" x14ac:dyDescent="0.25">
      <c r="A34" s="11"/>
      <c r="B34" s="2"/>
      <c r="C34" s="2"/>
      <c r="E34" s="12"/>
      <c r="H34" s="57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57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57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57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57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57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57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57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57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57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57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57"/>
      <c r="N45" s="15"/>
      <c r="O45" s="15"/>
      <c r="P45" s="15"/>
    </row>
  </sheetData>
  <mergeCells count="2">
    <mergeCell ref="A25:L25"/>
    <mergeCell ref="O25:P25"/>
  </mergeCells>
  <conditionalFormatting sqref="B3">
    <cfRule type="duplicateValues" dxfId="666" priority="2"/>
  </conditionalFormatting>
  <conditionalFormatting sqref="B4">
    <cfRule type="duplicateValues" dxfId="665" priority="1"/>
  </conditionalFormatting>
  <conditionalFormatting sqref="B5:B24">
    <cfRule type="duplicateValues" dxfId="664" priority="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workbookViewId="0">
      <selection activeCell="D9" sqref="D9"/>
    </sheetView>
  </sheetViews>
  <sheetFormatPr defaultRowHeight="15" x14ac:dyDescent="0.2"/>
  <cols>
    <col min="1" max="1" width="8" style="4" customWidth="1"/>
    <col min="2" max="2" width="19.5703125" style="2" customWidth="1"/>
    <col min="3" max="3" width="15.140625" style="2" customWidth="1"/>
    <col min="4" max="4" width="9" style="3" customWidth="1"/>
    <col min="5" max="5" width="9.42578125" style="12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2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3">
        <v>404029</v>
      </c>
      <c r="B3" s="103" t="s">
        <v>836</v>
      </c>
      <c r="C3" s="92" t="s">
        <v>837</v>
      </c>
      <c r="D3" s="106" t="s">
        <v>59</v>
      </c>
      <c r="E3" s="93">
        <v>44519</v>
      </c>
      <c r="F3" s="106" t="s">
        <v>169</v>
      </c>
      <c r="G3" s="93">
        <v>44520</v>
      </c>
      <c r="H3" s="92" t="s">
        <v>839</v>
      </c>
      <c r="I3" s="92">
        <v>46</v>
      </c>
      <c r="J3" s="92">
        <v>38</v>
      </c>
      <c r="K3" s="92">
        <v>42</v>
      </c>
      <c r="L3" s="92">
        <v>10</v>
      </c>
      <c r="M3" s="92">
        <v>18.353999999999999</v>
      </c>
      <c r="N3" s="109">
        <v>19</v>
      </c>
      <c r="O3" s="58">
        <v>7000</v>
      </c>
      <c r="P3" s="59">
        <f>Table2245789101123456789101112131415161718192021222324252627282930313233343537383940[[#This Row],[PEMBULATAN]]*O3</f>
        <v>133000</v>
      </c>
    </row>
    <row r="4" spans="1:16" ht="26.25" customHeight="1" x14ac:dyDescent="0.2">
      <c r="A4" s="104"/>
      <c r="B4" s="104"/>
      <c r="C4" s="92" t="s">
        <v>838</v>
      </c>
      <c r="D4" s="106" t="s">
        <v>59</v>
      </c>
      <c r="E4" s="93">
        <v>44519</v>
      </c>
      <c r="F4" s="106" t="s">
        <v>169</v>
      </c>
      <c r="G4" s="93">
        <v>44520</v>
      </c>
      <c r="H4" s="92" t="s">
        <v>839</v>
      </c>
      <c r="I4" s="92">
        <v>54</v>
      </c>
      <c r="J4" s="92">
        <v>36</v>
      </c>
      <c r="K4" s="92">
        <v>36</v>
      </c>
      <c r="L4" s="92">
        <v>5</v>
      </c>
      <c r="M4" s="92">
        <v>17.495999999999999</v>
      </c>
      <c r="N4" s="109">
        <v>18</v>
      </c>
      <c r="O4" s="58">
        <v>7000</v>
      </c>
      <c r="P4" s="59">
        <f>Table2245789101123456789101112131415161718192021222324252627282930313233343537383940[[#This Row],[PEMBULATAN]]*O4</f>
        <v>126000</v>
      </c>
    </row>
    <row r="5" spans="1:16" ht="22.5" customHeight="1" x14ac:dyDescent="0.2">
      <c r="A5" s="145" t="s">
        <v>30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7"/>
      <c r="M5" s="73">
        <f>SUBTOTAL(109,Table2245789101123456789101112131415161718192021222324252627282930313233343537383940[KG VOLUME])</f>
        <v>35.849999999999994</v>
      </c>
      <c r="N5" s="62">
        <f>SUM(N3:N4)</f>
        <v>37</v>
      </c>
      <c r="O5" s="148">
        <f>SUM(P3:P4)</f>
        <v>259000</v>
      </c>
      <c r="P5" s="149"/>
    </row>
    <row r="6" spans="1:16" ht="18" customHeight="1" x14ac:dyDescent="0.2">
      <c r="A6" s="80"/>
      <c r="B6" s="50" t="s">
        <v>42</v>
      </c>
      <c r="C6" s="49"/>
      <c r="D6" s="51" t="s">
        <v>43</v>
      </c>
      <c r="E6" s="80"/>
      <c r="F6" s="80"/>
      <c r="G6" s="80"/>
      <c r="H6" s="80"/>
      <c r="I6" s="80"/>
      <c r="J6" s="80"/>
      <c r="K6" s="80"/>
      <c r="L6" s="80"/>
      <c r="M6" s="81"/>
      <c r="N6" s="82" t="s">
        <v>52</v>
      </c>
      <c r="O6" s="83"/>
      <c r="P6" s="83">
        <v>0</v>
      </c>
    </row>
    <row r="7" spans="1:16" ht="18" customHeight="1" thickBot="1" x14ac:dyDescent="0.25">
      <c r="A7" s="80"/>
      <c r="B7" s="50"/>
      <c r="C7" s="49"/>
      <c r="D7" s="51"/>
      <c r="E7" s="80"/>
      <c r="F7" s="80"/>
      <c r="G7" s="80"/>
      <c r="H7" s="80"/>
      <c r="I7" s="80"/>
      <c r="J7" s="80"/>
      <c r="K7" s="80"/>
      <c r="L7" s="80"/>
      <c r="M7" s="81"/>
      <c r="N7" s="84" t="s">
        <v>53</v>
      </c>
      <c r="O7" s="85"/>
      <c r="P7" s="85">
        <f>O5-P6</f>
        <v>259000</v>
      </c>
    </row>
    <row r="8" spans="1:16" ht="18" customHeight="1" x14ac:dyDescent="0.2">
      <c r="A8" s="11"/>
      <c r="H8" s="57"/>
      <c r="N8" s="56" t="s">
        <v>31</v>
      </c>
      <c r="P8" s="63">
        <f>P7*1%</f>
        <v>2590</v>
      </c>
    </row>
    <row r="9" spans="1:16" ht="18" customHeight="1" thickBot="1" x14ac:dyDescent="0.25">
      <c r="A9" s="11"/>
      <c r="H9" s="57"/>
      <c r="N9" s="56" t="s">
        <v>54</v>
      </c>
      <c r="P9" s="65">
        <f>P7*2%</f>
        <v>5180</v>
      </c>
    </row>
    <row r="10" spans="1:16" ht="18" customHeight="1" x14ac:dyDescent="0.2">
      <c r="A10" s="11"/>
      <c r="H10" s="57"/>
      <c r="N10" s="60" t="s">
        <v>32</v>
      </c>
      <c r="O10" s="61"/>
      <c r="P10" s="64">
        <f>P7+P8-P9</f>
        <v>256410</v>
      </c>
    </row>
    <row r="12" spans="1:16" x14ac:dyDescent="0.2">
      <c r="A12" s="11"/>
      <c r="H12" s="57"/>
      <c r="P12" s="65"/>
    </row>
    <row r="13" spans="1:16" x14ac:dyDescent="0.2">
      <c r="A13" s="11"/>
      <c r="H13" s="57"/>
      <c r="O13" s="52"/>
      <c r="P13" s="65"/>
    </row>
    <row r="14" spans="1:16" s="3" customFormat="1" x14ac:dyDescent="0.25">
      <c r="A14" s="11"/>
      <c r="B14" s="2"/>
      <c r="C14" s="2"/>
      <c r="E14" s="12"/>
      <c r="H14" s="57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57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57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57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57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57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7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7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7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7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7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7"/>
      <c r="N25" s="15"/>
      <c r="O25" s="15"/>
      <c r="P25" s="15"/>
    </row>
  </sheetData>
  <mergeCells count="2">
    <mergeCell ref="A5:L5"/>
    <mergeCell ref="O5:P5"/>
  </mergeCells>
  <conditionalFormatting sqref="C3:C4">
    <cfRule type="duplicateValues" dxfId="47" priority="1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3"/>
  <sheetViews>
    <sheetView workbookViewId="0">
      <selection activeCell="N49" sqref="N4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2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3">
        <v>403888</v>
      </c>
      <c r="B3" s="103" t="s">
        <v>840</v>
      </c>
      <c r="C3" s="92" t="s">
        <v>841</v>
      </c>
      <c r="D3" s="106" t="s">
        <v>59</v>
      </c>
      <c r="E3" s="93">
        <v>44519</v>
      </c>
      <c r="F3" s="106" t="s">
        <v>169</v>
      </c>
      <c r="G3" s="93">
        <v>44520</v>
      </c>
      <c r="H3" s="92" t="s">
        <v>839</v>
      </c>
      <c r="I3" s="92">
        <v>47</v>
      </c>
      <c r="J3" s="92">
        <v>40</v>
      </c>
      <c r="K3" s="92">
        <v>15</v>
      </c>
      <c r="L3" s="92">
        <v>2</v>
      </c>
      <c r="M3" s="92">
        <v>7.05</v>
      </c>
      <c r="N3" s="109">
        <v>7.05</v>
      </c>
      <c r="O3" s="58">
        <v>7000</v>
      </c>
      <c r="P3" s="59">
        <f>Table224578910112345678910111213141516171819202122232425262728293031323334353738394041[[#This Row],[PEMBULATAN]]*O3</f>
        <v>49350</v>
      </c>
    </row>
    <row r="4" spans="1:16" ht="26.25" customHeight="1" x14ac:dyDescent="0.2">
      <c r="A4" s="104"/>
      <c r="B4" s="105"/>
      <c r="C4" s="92" t="s">
        <v>842</v>
      </c>
      <c r="D4" s="106" t="s">
        <v>59</v>
      </c>
      <c r="E4" s="93">
        <v>44519</v>
      </c>
      <c r="F4" s="106" t="s">
        <v>169</v>
      </c>
      <c r="G4" s="93">
        <v>44520</v>
      </c>
      <c r="H4" s="92" t="s">
        <v>839</v>
      </c>
      <c r="I4" s="92">
        <v>40</v>
      </c>
      <c r="J4" s="92">
        <v>35</v>
      </c>
      <c r="K4" s="92">
        <v>20</v>
      </c>
      <c r="L4" s="92">
        <v>7</v>
      </c>
      <c r="M4" s="92">
        <v>7</v>
      </c>
      <c r="N4" s="109">
        <v>7</v>
      </c>
      <c r="O4" s="58">
        <v>7000</v>
      </c>
      <c r="P4" s="59">
        <f>Table224578910112345678910111213141516171819202122232425262728293031323334353738394041[[#This Row],[PEMBULATAN]]*O4</f>
        <v>49000</v>
      </c>
    </row>
    <row r="5" spans="1:16" ht="26.25" customHeight="1" x14ac:dyDescent="0.2">
      <c r="A5" s="104"/>
      <c r="B5" s="104" t="s">
        <v>843</v>
      </c>
      <c r="C5" s="92" t="s">
        <v>844</v>
      </c>
      <c r="D5" s="106" t="s">
        <v>59</v>
      </c>
      <c r="E5" s="93">
        <v>44520</v>
      </c>
      <c r="F5" s="106" t="s">
        <v>169</v>
      </c>
      <c r="G5" s="93">
        <v>44520</v>
      </c>
      <c r="H5" s="92" t="s">
        <v>839</v>
      </c>
      <c r="I5" s="92">
        <v>42</v>
      </c>
      <c r="J5" s="92">
        <v>30</v>
      </c>
      <c r="K5" s="92">
        <v>10</v>
      </c>
      <c r="L5" s="92">
        <v>10</v>
      </c>
      <c r="M5" s="92">
        <v>3.15</v>
      </c>
      <c r="N5" s="109">
        <v>10</v>
      </c>
      <c r="O5" s="58">
        <v>7000</v>
      </c>
      <c r="P5" s="59">
        <f>Table224578910112345678910111213141516171819202122232425262728293031323334353738394041[[#This Row],[PEMBULATAN]]*O5</f>
        <v>70000</v>
      </c>
    </row>
    <row r="6" spans="1:16" ht="26.25" customHeight="1" x14ac:dyDescent="0.2">
      <c r="A6" s="104"/>
      <c r="B6" s="104"/>
      <c r="C6" s="92" t="s">
        <v>845</v>
      </c>
      <c r="D6" s="106" t="s">
        <v>59</v>
      </c>
      <c r="E6" s="93">
        <v>44520</v>
      </c>
      <c r="F6" s="106" t="s">
        <v>169</v>
      </c>
      <c r="G6" s="93">
        <v>44520</v>
      </c>
      <c r="H6" s="92" t="s">
        <v>839</v>
      </c>
      <c r="I6" s="92">
        <v>42</v>
      </c>
      <c r="J6" s="92">
        <v>33</v>
      </c>
      <c r="K6" s="92">
        <v>30</v>
      </c>
      <c r="L6" s="92">
        <v>14</v>
      </c>
      <c r="M6" s="92">
        <v>10.395</v>
      </c>
      <c r="N6" s="109">
        <v>15</v>
      </c>
      <c r="O6" s="58">
        <v>7000</v>
      </c>
      <c r="P6" s="59">
        <f>Table224578910112345678910111213141516171819202122232425262728293031323334353738394041[[#This Row],[PEMBULATAN]]*O6</f>
        <v>105000</v>
      </c>
    </row>
    <row r="7" spans="1:16" ht="26.25" customHeight="1" x14ac:dyDescent="0.2">
      <c r="A7" s="104"/>
      <c r="B7" s="104"/>
      <c r="C7" s="67" t="s">
        <v>846</v>
      </c>
      <c r="D7" s="72" t="s">
        <v>59</v>
      </c>
      <c r="E7" s="13">
        <v>44520</v>
      </c>
      <c r="F7" s="70" t="s">
        <v>169</v>
      </c>
      <c r="G7" s="13">
        <v>44520</v>
      </c>
      <c r="H7" s="71" t="s">
        <v>839</v>
      </c>
      <c r="I7" s="16">
        <v>60</v>
      </c>
      <c r="J7" s="16">
        <v>30</v>
      </c>
      <c r="K7" s="16">
        <v>30</v>
      </c>
      <c r="L7" s="16">
        <v>8</v>
      </c>
      <c r="M7" s="75">
        <v>13.5</v>
      </c>
      <c r="N7" s="109">
        <v>15</v>
      </c>
      <c r="O7" s="58">
        <v>7000</v>
      </c>
      <c r="P7" s="59">
        <f>Table224578910112345678910111213141516171819202122232425262728293031323334353738394041[[#This Row],[PEMBULATAN]]*O7</f>
        <v>105000</v>
      </c>
    </row>
    <row r="8" spans="1:16" ht="26.25" customHeight="1" x14ac:dyDescent="0.2">
      <c r="A8" s="104"/>
      <c r="B8" s="104"/>
      <c r="C8" s="67" t="s">
        <v>847</v>
      </c>
      <c r="D8" s="72" t="s">
        <v>59</v>
      </c>
      <c r="E8" s="13">
        <v>44520</v>
      </c>
      <c r="F8" s="70" t="s">
        <v>169</v>
      </c>
      <c r="G8" s="13">
        <v>44520</v>
      </c>
      <c r="H8" s="71" t="s">
        <v>839</v>
      </c>
      <c r="I8" s="16">
        <v>81</v>
      </c>
      <c r="J8" s="16">
        <v>54</v>
      </c>
      <c r="K8" s="16">
        <v>20</v>
      </c>
      <c r="L8" s="16">
        <v>20</v>
      </c>
      <c r="M8" s="75">
        <v>21.87</v>
      </c>
      <c r="N8" s="109">
        <v>21.87</v>
      </c>
      <c r="O8" s="58">
        <v>7000</v>
      </c>
      <c r="P8" s="59">
        <f>Table224578910112345678910111213141516171819202122232425262728293031323334353738394041[[#This Row],[PEMBULATAN]]*O8</f>
        <v>153090</v>
      </c>
    </row>
    <row r="9" spans="1:16" ht="26.25" customHeight="1" x14ac:dyDescent="0.2">
      <c r="A9" s="104"/>
      <c r="B9" s="104"/>
      <c r="C9" s="67" t="s">
        <v>848</v>
      </c>
      <c r="D9" s="72" t="s">
        <v>59</v>
      </c>
      <c r="E9" s="13">
        <v>44520</v>
      </c>
      <c r="F9" s="70" t="s">
        <v>169</v>
      </c>
      <c r="G9" s="13">
        <v>44520</v>
      </c>
      <c r="H9" s="71" t="s">
        <v>839</v>
      </c>
      <c r="I9" s="16">
        <v>65</v>
      </c>
      <c r="J9" s="16">
        <v>20</v>
      </c>
      <c r="K9" s="16">
        <v>18</v>
      </c>
      <c r="L9" s="16">
        <v>4</v>
      </c>
      <c r="M9" s="75">
        <v>5.85</v>
      </c>
      <c r="N9" s="109">
        <v>5.85</v>
      </c>
      <c r="O9" s="58">
        <v>7000</v>
      </c>
      <c r="P9" s="59">
        <f>Table224578910112345678910111213141516171819202122232425262728293031323334353738394041[[#This Row],[PEMBULATAN]]*O9</f>
        <v>40950</v>
      </c>
    </row>
    <row r="10" spans="1:16" ht="26.25" customHeight="1" x14ac:dyDescent="0.2">
      <c r="A10" s="104"/>
      <c r="B10" s="104"/>
      <c r="C10" s="67" t="s">
        <v>849</v>
      </c>
      <c r="D10" s="72" t="s">
        <v>59</v>
      </c>
      <c r="E10" s="13">
        <v>44520</v>
      </c>
      <c r="F10" s="70" t="s">
        <v>169</v>
      </c>
      <c r="G10" s="13">
        <v>44520</v>
      </c>
      <c r="H10" s="71" t="s">
        <v>839</v>
      </c>
      <c r="I10" s="16">
        <v>30</v>
      </c>
      <c r="J10" s="16">
        <v>22</v>
      </c>
      <c r="K10" s="16">
        <v>22</v>
      </c>
      <c r="L10" s="16">
        <v>11</v>
      </c>
      <c r="M10" s="75">
        <v>3.63</v>
      </c>
      <c r="N10" s="109">
        <v>11</v>
      </c>
      <c r="O10" s="58">
        <v>7000</v>
      </c>
      <c r="P10" s="59">
        <f>Table224578910112345678910111213141516171819202122232425262728293031323334353738394041[[#This Row],[PEMBULATAN]]*O10</f>
        <v>77000</v>
      </c>
    </row>
    <row r="11" spans="1:16" ht="26.25" customHeight="1" x14ac:dyDescent="0.2">
      <c r="A11" s="104"/>
      <c r="B11" s="104"/>
      <c r="C11" s="67" t="s">
        <v>850</v>
      </c>
      <c r="D11" s="72" t="s">
        <v>59</v>
      </c>
      <c r="E11" s="13">
        <v>44520</v>
      </c>
      <c r="F11" s="70" t="s">
        <v>169</v>
      </c>
      <c r="G11" s="13">
        <v>44520</v>
      </c>
      <c r="H11" s="71" t="s">
        <v>839</v>
      </c>
      <c r="I11" s="16">
        <v>36</v>
      </c>
      <c r="J11" s="16">
        <v>34</v>
      </c>
      <c r="K11" s="16">
        <v>27</v>
      </c>
      <c r="L11" s="16">
        <v>6</v>
      </c>
      <c r="M11" s="75">
        <v>8.2620000000000005</v>
      </c>
      <c r="N11" s="109">
        <v>8.2620000000000005</v>
      </c>
      <c r="O11" s="58">
        <v>7000</v>
      </c>
      <c r="P11" s="59">
        <f>Table224578910112345678910111213141516171819202122232425262728293031323334353738394041[[#This Row],[PEMBULATAN]]*O11</f>
        <v>57834</v>
      </c>
    </row>
    <row r="12" spans="1:16" ht="26.25" customHeight="1" x14ac:dyDescent="0.2">
      <c r="A12" s="104"/>
      <c r="B12" s="104"/>
      <c r="C12" s="67" t="s">
        <v>851</v>
      </c>
      <c r="D12" s="72" t="s">
        <v>59</v>
      </c>
      <c r="E12" s="13">
        <v>44520</v>
      </c>
      <c r="F12" s="70" t="s">
        <v>169</v>
      </c>
      <c r="G12" s="13">
        <v>44520</v>
      </c>
      <c r="H12" s="71" t="s">
        <v>839</v>
      </c>
      <c r="I12" s="16">
        <v>40</v>
      </c>
      <c r="J12" s="16">
        <v>34</v>
      </c>
      <c r="K12" s="16">
        <v>34</v>
      </c>
      <c r="L12" s="16">
        <v>7</v>
      </c>
      <c r="M12" s="75">
        <v>11.56</v>
      </c>
      <c r="N12" s="109">
        <v>11.56</v>
      </c>
      <c r="O12" s="58">
        <v>7000</v>
      </c>
      <c r="P12" s="59">
        <f>Table224578910112345678910111213141516171819202122232425262728293031323334353738394041[[#This Row],[PEMBULATAN]]*O12</f>
        <v>80920</v>
      </c>
    </row>
    <row r="13" spans="1:16" ht="26.25" customHeight="1" x14ac:dyDescent="0.2">
      <c r="A13" s="104"/>
      <c r="B13" s="104"/>
      <c r="C13" s="67" t="s">
        <v>852</v>
      </c>
      <c r="D13" s="72" t="s">
        <v>59</v>
      </c>
      <c r="E13" s="13">
        <v>44520</v>
      </c>
      <c r="F13" s="70" t="s">
        <v>169</v>
      </c>
      <c r="G13" s="13">
        <v>44520</v>
      </c>
      <c r="H13" s="71" t="s">
        <v>839</v>
      </c>
      <c r="I13" s="16">
        <v>37</v>
      </c>
      <c r="J13" s="16">
        <v>26</v>
      </c>
      <c r="K13" s="16">
        <v>18</v>
      </c>
      <c r="L13" s="16">
        <v>6</v>
      </c>
      <c r="M13" s="75">
        <v>4.3289999999999997</v>
      </c>
      <c r="N13" s="109">
        <v>7</v>
      </c>
      <c r="O13" s="58">
        <v>7000</v>
      </c>
      <c r="P13" s="59">
        <f>Table224578910112345678910111213141516171819202122232425262728293031323334353738394041[[#This Row],[PEMBULATAN]]*O13</f>
        <v>49000</v>
      </c>
    </row>
    <row r="14" spans="1:16" ht="26.25" customHeight="1" x14ac:dyDescent="0.2">
      <c r="A14" s="104"/>
      <c r="B14" s="104"/>
      <c r="C14" s="67" t="s">
        <v>853</v>
      </c>
      <c r="D14" s="72" t="s">
        <v>59</v>
      </c>
      <c r="E14" s="13">
        <v>44520</v>
      </c>
      <c r="F14" s="70" t="s">
        <v>169</v>
      </c>
      <c r="G14" s="13">
        <v>44520</v>
      </c>
      <c r="H14" s="71" t="s">
        <v>839</v>
      </c>
      <c r="I14" s="16">
        <v>50</v>
      </c>
      <c r="J14" s="16">
        <v>37</v>
      </c>
      <c r="K14" s="16">
        <v>23</v>
      </c>
      <c r="L14" s="16">
        <v>10</v>
      </c>
      <c r="M14" s="75">
        <v>10.637499999999999</v>
      </c>
      <c r="N14" s="109">
        <v>10.637499999999999</v>
      </c>
      <c r="O14" s="58">
        <v>7000</v>
      </c>
      <c r="P14" s="59">
        <f>Table224578910112345678910111213141516171819202122232425262728293031323334353738394041[[#This Row],[PEMBULATAN]]*O14</f>
        <v>74462.5</v>
      </c>
    </row>
    <row r="15" spans="1:16" ht="26.25" customHeight="1" x14ac:dyDescent="0.2">
      <c r="A15" s="104"/>
      <c r="B15" s="104"/>
      <c r="C15" s="67" t="s">
        <v>854</v>
      </c>
      <c r="D15" s="72" t="s">
        <v>59</v>
      </c>
      <c r="E15" s="13">
        <v>44520</v>
      </c>
      <c r="F15" s="70" t="s">
        <v>169</v>
      </c>
      <c r="G15" s="13">
        <v>44520</v>
      </c>
      <c r="H15" s="71" t="s">
        <v>839</v>
      </c>
      <c r="I15" s="16">
        <v>44</v>
      </c>
      <c r="J15" s="16">
        <v>30</v>
      </c>
      <c r="K15" s="16">
        <v>30</v>
      </c>
      <c r="L15" s="16">
        <v>14</v>
      </c>
      <c r="M15" s="75">
        <v>9.9</v>
      </c>
      <c r="N15" s="109">
        <v>14</v>
      </c>
      <c r="O15" s="58">
        <v>7000</v>
      </c>
      <c r="P15" s="59">
        <f>Table224578910112345678910111213141516171819202122232425262728293031323334353738394041[[#This Row],[PEMBULATAN]]*O15</f>
        <v>98000</v>
      </c>
    </row>
    <row r="16" spans="1:16" ht="26.25" customHeight="1" x14ac:dyDescent="0.2">
      <c r="A16" s="104"/>
      <c r="B16" s="104"/>
      <c r="C16" s="67" t="s">
        <v>855</v>
      </c>
      <c r="D16" s="72" t="s">
        <v>59</v>
      </c>
      <c r="E16" s="13">
        <v>44520</v>
      </c>
      <c r="F16" s="70" t="s">
        <v>169</v>
      </c>
      <c r="G16" s="13">
        <v>44520</v>
      </c>
      <c r="H16" s="71" t="s">
        <v>839</v>
      </c>
      <c r="I16" s="16">
        <v>84</v>
      </c>
      <c r="J16" s="16">
        <v>44</v>
      </c>
      <c r="K16" s="16">
        <v>28</v>
      </c>
      <c r="L16" s="16">
        <v>12</v>
      </c>
      <c r="M16" s="75">
        <v>25.872</v>
      </c>
      <c r="N16" s="109">
        <v>25.872</v>
      </c>
      <c r="O16" s="58">
        <v>7000</v>
      </c>
      <c r="P16" s="59">
        <f>Table224578910112345678910111213141516171819202122232425262728293031323334353738394041[[#This Row],[PEMBULATAN]]*O16</f>
        <v>181104</v>
      </c>
    </row>
    <row r="17" spans="1:16" ht="26.25" customHeight="1" x14ac:dyDescent="0.2">
      <c r="A17" s="104"/>
      <c r="B17" s="104"/>
      <c r="C17" s="67" t="s">
        <v>856</v>
      </c>
      <c r="D17" s="72" t="s">
        <v>59</v>
      </c>
      <c r="E17" s="13">
        <v>44520</v>
      </c>
      <c r="F17" s="70" t="s">
        <v>169</v>
      </c>
      <c r="G17" s="13">
        <v>44520</v>
      </c>
      <c r="H17" s="71" t="s">
        <v>839</v>
      </c>
      <c r="I17" s="16">
        <v>125</v>
      </c>
      <c r="J17" s="16">
        <v>38</v>
      </c>
      <c r="K17" s="16">
        <v>27</v>
      </c>
      <c r="L17" s="16">
        <v>25</v>
      </c>
      <c r="M17" s="75">
        <v>32.0625</v>
      </c>
      <c r="N17" s="109">
        <v>32.0625</v>
      </c>
      <c r="O17" s="58">
        <v>7000</v>
      </c>
      <c r="P17" s="59">
        <f>Table224578910112345678910111213141516171819202122232425262728293031323334353738394041[[#This Row],[PEMBULATAN]]*O17</f>
        <v>224437.5</v>
      </c>
    </row>
    <row r="18" spans="1:16" ht="26.25" customHeight="1" x14ac:dyDescent="0.2">
      <c r="A18" s="104"/>
      <c r="B18" s="104"/>
      <c r="C18" s="67" t="s">
        <v>857</v>
      </c>
      <c r="D18" s="72" t="s">
        <v>59</v>
      </c>
      <c r="E18" s="13">
        <v>44520</v>
      </c>
      <c r="F18" s="70" t="s">
        <v>169</v>
      </c>
      <c r="G18" s="13">
        <v>44520</v>
      </c>
      <c r="H18" s="71" t="s">
        <v>839</v>
      </c>
      <c r="I18" s="16">
        <v>107</v>
      </c>
      <c r="J18" s="16">
        <v>10</v>
      </c>
      <c r="K18" s="16">
        <v>6</v>
      </c>
      <c r="L18" s="16">
        <v>6</v>
      </c>
      <c r="M18" s="75">
        <v>1.605</v>
      </c>
      <c r="N18" s="109">
        <v>6</v>
      </c>
      <c r="O18" s="58">
        <v>7000</v>
      </c>
      <c r="P18" s="59">
        <f>Table224578910112345678910111213141516171819202122232425262728293031323334353738394041[[#This Row],[PEMBULATAN]]*O18</f>
        <v>42000</v>
      </c>
    </row>
    <row r="19" spans="1:16" ht="26.25" customHeight="1" x14ac:dyDescent="0.2">
      <c r="A19" s="104"/>
      <c r="B19" s="104"/>
      <c r="C19" s="67" t="s">
        <v>858</v>
      </c>
      <c r="D19" s="72" t="s">
        <v>59</v>
      </c>
      <c r="E19" s="13">
        <v>44520</v>
      </c>
      <c r="F19" s="70" t="s">
        <v>169</v>
      </c>
      <c r="G19" s="13">
        <v>44520</v>
      </c>
      <c r="H19" s="71" t="s">
        <v>839</v>
      </c>
      <c r="I19" s="16">
        <v>97</v>
      </c>
      <c r="J19" s="16">
        <v>50</v>
      </c>
      <c r="K19" s="16">
        <v>8</v>
      </c>
      <c r="L19" s="16">
        <v>14</v>
      </c>
      <c r="M19" s="75">
        <v>9.6999999999999993</v>
      </c>
      <c r="N19" s="109">
        <v>14</v>
      </c>
      <c r="O19" s="58">
        <v>7000</v>
      </c>
      <c r="P19" s="59">
        <f>Table224578910112345678910111213141516171819202122232425262728293031323334353738394041[[#This Row],[PEMBULATAN]]*O19</f>
        <v>98000</v>
      </c>
    </row>
    <row r="20" spans="1:16" ht="26.25" customHeight="1" x14ac:dyDescent="0.2">
      <c r="A20" s="104"/>
      <c r="B20" s="104"/>
      <c r="C20" s="67" t="s">
        <v>859</v>
      </c>
      <c r="D20" s="72" t="s">
        <v>59</v>
      </c>
      <c r="E20" s="13">
        <v>44520</v>
      </c>
      <c r="F20" s="70" t="s">
        <v>169</v>
      </c>
      <c r="G20" s="13">
        <v>44520</v>
      </c>
      <c r="H20" s="71" t="s">
        <v>839</v>
      </c>
      <c r="I20" s="16">
        <v>44</v>
      </c>
      <c r="J20" s="16">
        <v>34</v>
      </c>
      <c r="K20" s="16">
        <v>24</v>
      </c>
      <c r="L20" s="16">
        <v>11</v>
      </c>
      <c r="M20" s="75">
        <v>8.9760000000000009</v>
      </c>
      <c r="N20" s="109">
        <v>11</v>
      </c>
      <c r="O20" s="58">
        <v>7000</v>
      </c>
      <c r="P20" s="59">
        <f>Table224578910112345678910111213141516171819202122232425262728293031323334353738394041[[#This Row],[PEMBULATAN]]*O20</f>
        <v>77000</v>
      </c>
    </row>
    <row r="21" spans="1:16" ht="26.25" customHeight="1" x14ac:dyDescent="0.2">
      <c r="A21" s="104"/>
      <c r="B21" s="104"/>
      <c r="C21" s="67" t="s">
        <v>860</v>
      </c>
      <c r="D21" s="72" t="s">
        <v>59</v>
      </c>
      <c r="E21" s="13">
        <v>44520</v>
      </c>
      <c r="F21" s="70" t="s">
        <v>169</v>
      </c>
      <c r="G21" s="13">
        <v>44520</v>
      </c>
      <c r="H21" s="71" t="s">
        <v>839</v>
      </c>
      <c r="I21" s="16">
        <v>73</v>
      </c>
      <c r="J21" s="16">
        <v>44</v>
      </c>
      <c r="K21" s="16">
        <v>28</v>
      </c>
      <c r="L21" s="16">
        <v>19</v>
      </c>
      <c r="M21" s="75">
        <v>22.484000000000002</v>
      </c>
      <c r="N21" s="109">
        <v>22.484000000000002</v>
      </c>
      <c r="O21" s="58">
        <v>7000</v>
      </c>
      <c r="P21" s="59">
        <f>Table224578910112345678910111213141516171819202122232425262728293031323334353738394041[[#This Row],[PEMBULATAN]]*O21</f>
        <v>157388</v>
      </c>
    </row>
    <row r="22" spans="1:16" ht="26.25" customHeight="1" x14ac:dyDescent="0.2">
      <c r="A22" s="104"/>
      <c r="B22" s="104"/>
      <c r="C22" s="67" t="s">
        <v>861</v>
      </c>
      <c r="D22" s="72" t="s">
        <v>59</v>
      </c>
      <c r="E22" s="13">
        <v>44520</v>
      </c>
      <c r="F22" s="70" t="s">
        <v>169</v>
      </c>
      <c r="G22" s="13">
        <v>44520</v>
      </c>
      <c r="H22" s="71" t="s">
        <v>839</v>
      </c>
      <c r="I22" s="16">
        <v>35</v>
      </c>
      <c r="J22" s="16">
        <v>30</v>
      </c>
      <c r="K22" s="16">
        <v>24</v>
      </c>
      <c r="L22" s="16">
        <v>6</v>
      </c>
      <c r="M22" s="75">
        <v>6.3</v>
      </c>
      <c r="N22" s="109">
        <v>7</v>
      </c>
      <c r="O22" s="58">
        <v>7000</v>
      </c>
      <c r="P22" s="59">
        <f>Table224578910112345678910111213141516171819202122232425262728293031323334353738394041[[#This Row],[PEMBULATAN]]*O22</f>
        <v>49000</v>
      </c>
    </row>
    <row r="23" spans="1:16" ht="26.25" customHeight="1" x14ac:dyDescent="0.2">
      <c r="A23" s="104"/>
      <c r="B23" s="104"/>
      <c r="C23" s="67" t="s">
        <v>862</v>
      </c>
      <c r="D23" s="72" t="s">
        <v>59</v>
      </c>
      <c r="E23" s="13">
        <v>44520</v>
      </c>
      <c r="F23" s="70" t="s">
        <v>169</v>
      </c>
      <c r="G23" s="13">
        <v>44520</v>
      </c>
      <c r="H23" s="71" t="s">
        <v>839</v>
      </c>
      <c r="I23" s="16">
        <v>50</v>
      </c>
      <c r="J23" s="16">
        <v>34</v>
      </c>
      <c r="K23" s="16">
        <v>27</v>
      </c>
      <c r="L23" s="16">
        <v>9</v>
      </c>
      <c r="M23" s="75">
        <v>11.475</v>
      </c>
      <c r="N23" s="109">
        <v>12</v>
      </c>
      <c r="O23" s="58">
        <v>7000</v>
      </c>
      <c r="P23" s="59">
        <f>Table224578910112345678910111213141516171819202122232425262728293031323334353738394041[[#This Row],[PEMBULATAN]]*O23</f>
        <v>84000</v>
      </c>
    </row>
    <row r="24" spans="1:16" ht="26.25" customHeight="1" x14ac:dyDescent="0.2">
      <c r="A24" s="104"/>
      <c r="B24" s="104"/>
      <c r="C24" s="67" t="s">
        <v>863</v>
      </c>
      <c r="D24" s="72" t="s">
        <v>59</v>
      </c>
      <c r="E24" s="13">
        <v>44520</v>
      </c>
      <c r="F24" s="70" t="s">
        <v>169</v>
      </c>
      <c r="G24" s="13">
        <v>44520</v>
      </c>
      <c r="H24" s="71" t="s">
        <v>839</v>
      </c>
      <c r="I24" s="16">
        <v>146</v>
      </c>
      <c r="J24" s="16">
        <v>116</v>
      </c>
      <c r="K24" s="16">
        <v>25</v>
      </c>
      <c r="L24" s="16">
        <v>43</v>
      </c>
      <c r="M24" s="75">
        <v>105.85</v>
      </c>
      <c r="N24" s="109">
        <v>105.85</v>
      </c>
      <c r="O24" s="58">
        <v>7000</v>
      </c>
      <c r="P24" s="59">
        <f>Table224578910112345678910111213141516171819202122232425262728293031323334353738394041[[#This Row],[PEMBULATAN]]*O24</f>
        <v>740950</v>
      </c>
    </row>
    <row r="25" spans="1:16" ht="26.25" customHeight="1" x14ac:dyDescent="0.2">
      <c r="A25" s="104"/>
      <c r="B25" s="104"/>
      <c r="C25" s="67" t="s">
        <v>864</v>
      </c>
      <c r="D25" s="72" t="s">
        <v>59</v>
      </c>
      <c r="E25" s="13">
        <v>44520</v>
      </c>
      <c r="F25" s="70" t="s">
        <v>169</v>
      </c>
      <c r="G25" s="13">
        <v>44520</v>
      </c>
      <c r="H25" s="71" t="s">
        <v>839</v>
      </c>
      <c r="I25" s="16">
        <v>50</v>
      </c>
      <c r="J25" s="16">
        <v>37</v>
      </c>
      <c r="K25" s="16">
        <v>15</v>
      </c>
      <c r="L25" s="16">
        <v>8</v>
      </c>
      <c r="M25" s="75">
        <v>6.9375</v>
      </c>
      <c r="N25" s="109">
        <v>8</v>
      </c>
      <c r="O25" s="58">
        <v>7000</v>
      </c>
      <c r="P25" s="59">
        <f>Table224578910112345678910111213141516171819202122232425262728293031323334353738394041[[#This Row],[PEMBULATAN]]*O25</f>
        <v>56000</v>
      </c>
    </row>
    <row r="26" spans="1:16" ht="26.25" customHeight="1" x14ac:dyDescent="0.2">
      <c r="A26" s="104"/>
      <c r="B26" s="104"/>
      <c r="C26" s="67" t="s">
        <v>865</v>
      </c>
      <c r="D26" s="72" t="s">
        <v>59</v>
      </c>
      <c r="E26" s="13">
        <v>44520</v>
      </c>
      <c r="F26" s="70" t="s">
        <v>169</v>
      </c>
      <c r="G26" s="13">
        <v>44520</v>
      </c>
      <c r="H26" s="71" t="s">
        <v>839</v>
      </c>
      <c r="I26" s="16">
        <v>46</v>
      </c>
      <c r="J26" s="16">
        <v>34</v>
      </c>
      <c r="K26" s="16">
        <v>22</v>
      </c>
      <c r="L26" s="16">
        <v>10</v>
      </c>
      <c r="M26" s="75">
        <v>8.6020000000000003</v>
      </c>
      <c r="N26" s="109">
        <v>10</v>
      </c>
      <c r="O26" s="58">
        <v>7000</v>
      </c>
      <c r="P26" s="59">
        <f>Table224578910112345678910111213141516171819202122232425262728293031323334353738394041[[#This Row],[PEMBULATAN]]*O26</f>
        <v>70000</v>
      </c>
    </row>
    <row r="27" spans="1:16" ht="26.25" customHeight="1" x14ac:dyDescent="0.2">
      <c r="A27" s="104"/>
      <c r="B27" s="104"/>
      <c r="C27" s="67" t="s">
        <v>866</v>
      </c>
      <c r="D27" s="72" t="s">
        <v>59</v>
      </c>
      <c r="E27" s="13">
        <v>44520</v>
      </c>
      <c r="F27" s="70" t="s">
        <v>169</v>
      </c>
      <c r="G27" s="13">
        <v>44520</v>
      </c>
      <c r="H27" s="71" t="s">
        <v>839</v>
      </c>
      <c r="I27" s="16">
        <v>50</v>
      </c>
      <c r="J27" s="16">
        <v>37</v>
      </c>
      <c r="K27" s="16">
        <v>26</v>
      </c>
      <c r="L27" s="16">
        <v>14</v>
      </c>
      <c r="M27" s="75">
        <v>12.025</v>
      </c>
      <c r="N27" s="109">
        <v>14</v>
      </c>
      <c r="O27" s="58">
        <v>7000</v>
      </c>
      <c r="P27" s="59">
        <f>Table224578910112345678910111213141516171819202122232425262728293031323334353738394041[[#This Row],[PEMBULATAN]]*O27</f>
        <v>98000</v>
      </c>
    </row>
    <row r="28" spans="1:16" ht="26.25" customHeight="1" x14ac:dyDescent="0.2">
      <c r="A28" s="104"/>
      <c r="B28" s="104"/>
      <c r="C28" s="67" t="s">
        <v>867</v>
      </c>
      <c r="D28" s="72" t="s">
        <v>59</v>
      </c>
      <c r="E28" s="13">
        <v>44520</v>
      </c>
      <c r="F28" s="70" t="s">
        <v>169</v>
      </c>
      <c r="G28" s="13">
        <v>44520</v>
      </c>
      <c r="H28" s="71" t="s">
        <v>839</v>
      </c>
      <c r="I28" s="16">
        <v>47</v>
      </c>
      <c r="J28" s="16">
        <v>48</v>
      </c>
      <c r="K28" s="16">
        <v>20</v>
      </c>
      <c r="L28" s="16">
        <v>12</v>
      </c>
      <c r="M28" s="75">
        <v>11.28</v>
      </c>
      <c r="N28" s="109">
        <v>12</v>
      </c>
      <c r="O28" s="58">
        <v>7000</v>
      </c>
      <c r="P28" s="59">
        <f>Table224578910112345678910111213141516171819202122232425262728293031323334353738394041[[#This Row],[PEMBULATAN]]*O28</f>
        <v>84000</v>
      </c>
    </row>
    <row r="29" spans="1:16" ht="26.25" customHeight="1" x14ac:dyDescent="0.2">
      <c r="A29" s="104"/>
      <c r="B29" s="104"/>
      <c r="C29" s="67" t="s">
        <v>868</v>
      </c>
      <c r="D29" s="72" t="s">
        <v>59</v>
      </c>
      <c r="E29" s="13">
        <v>44520</v>
      </c>
      <c r="F29" s="70" t="s">
        <v>169</v>
      </c>
      <c r="G29" s="13">
        <v>44520</v>
      </c>
      <c r="H29" s="71" t="s">
        <v>839</v>
      </c>
      <c r="I29" s="16">
        <v>53</v>
      </c>
      <c r="J29" s="16">
        <v>42</v>
      </c>
      <c r="K29" s="16">
        <v>18</v>
      </c>
      <c r="L29" s="16">
        <v>10</v>
      </c>
      <c r="M29" s="75">
        <v>10.016999999999999</v>
      </c>
      <c r="N29" s="109">
        <v>10.016999999999999</v>
      </c>
      <c r="O29" s="58">
        <v>7000</v>
      </c>
      <c r="P29" s="59">
        <f>Table224578910112345678910111213141516171819202122232425262728293031323334353738394041[[#This Row],[PEMBULATAN]]*O29</f>
        <v>70119</v>
      </c>
    </row>
    <row r="30" spans="1:16" ht="26.25" customHeight="1" x14ac:dyDescent="0.2">
      <c r="A30" s="104"/>
      <c r="B30" s="105"/>
      <c r="C30" s="67" t="s">
        <v>869</v>
      </c>
      <c r="D30" s="72" t="s">
        <v>59</v>
      </c>
      <c r="E30" s="13">
        <v>44520</v>
      </c>
      <c r="F30" s="70" t="s">
        <v>169</v>
      </c>
      <c r="G30" s="13">
        <v>44520</v>
      </c>
      <c r="H30" s="71" t="s">
        <v>839</v>
      </c>
      <c r="I30" s="16">
        <v>74</v>
      </c>
      <c r="J30" s="16">
        <v>37</v>
      </c>
      <c r="K30" s="16">
        <v>17</v>
      </c>
      <c r="L30" s="16">
        <v>5</v>
      </c>
      <c r="M30" s="75">
        <v>11.6365</v>
      </c>
      <c r="N30" s="109">
        <v>11.6365</v>
      </c>
      <c r="O30" s="58">
        <v>7000</v>
      </c>
      <c r="P30" s="59">
        <f>Table224578910112345678910111213141516171819202122232425262728293031323334353738394041[[#This Row],[PEMBULATAN]]*O30</f>
        <v>81455.5</v>
      </c>
    </row>
    <row r="31" spans="1:16" ht="26.25" customHeight="1" x14ac:dyDescent="0.2">
      <c r="A31" s="104"/>
      <c r="B31" s="104" t="s">
        <v>870</v>
      </c>
      <c r="C31" s="67" t="s">
        <v>871</v>
      </c>
      <c r="D31" s="72" t="s">
        <v>59</v>
      </c>
      <c r="E31" s="13">
        <v>44519</v>
      </c>
      <c r="F31" s="70" t="s">
        <v>169</v>
      </c>
      <c r="G31" s="13">
        <v>44520</v>
      </c>
      <c r="H31" s="71" t="s">
        <v>839</v>
      </c>
      <c r="I31" s="16">
        <v>44</v>
      </c>
      <c r="J31" s="16">
        <v>34</v>
      </c>
      <c r="K31" s="16">
        <v>28</v>
      </c>
      <c r="L31" s="16">
        <v>10</v>
      </c>
      <c r="M31" s="75">
        <v>10.472</v>
      </c>
      <c r="N31" s="109">
        <v>11</v>
      </c>
      <c r="O31" s="58">
        <v>7000</v>
      </c>
      <c r="P31" s="59">
        <f>Table224578910112345678910111213141516171819202122232425262728293031323334353738394041[[#This Row],[PEMBULATAN]]*O31</f>
        <v>77000</v>
      </c>
    </row>
    <row r="32" spans="1:16" ht="26.25" customHeight="1" x14ac:dyDescent="0.2">
      <c r="A32" s="104"/>
      <c r="B32" s="104"/>
      <c r="C32" s="67" t="s">
        <v>872</v>
      </c>
      <c r="D32" s="72" t="s">
        <v>59</v>
      </c>
      <c r="E32" s="13">
        <v>44519</v>
      </c>
      <c r="F32" s="70" t="s">
        <v>169</v>
      </c>
      <c r="G32" s="13">
        <v>44520</v>
      </c>
      <c r="H32" s="71" t="s">
        <v>839</v>
      </c>
      <c r="I32" s="16">
        <v>44</v>
      </c>
      <c r="J32" s="16">
        <v>34</v>
      </c>
      <c r="K32" s="16">
        <v>28</v>
      </c>
      <c r="L32" s="16">
        <v>10</v>
      </c>
      <c r="M32" s="75">
        <v>10.472</v>
      </c>
      <c r="N32" s="109">
        <v>11</v>
      </c>
      <c r="O32" s="58">
        <v>7000</v>
      </c>
      <c r="P32" s="59">
        <f>Table224578910112345678910111213141516171819202122232425262728293031323334353738394041[[#This Row],[PEMBULATAN]]*O32</f>
        <v>77000</v>
      </c>
    </row>
    <row r="33" spans="1:16" ht="26.25" customHeight="1" x14ac:dyDescent="0.2">
      <c r="A33" s="104"/>
      <c r="B33" s="104"/>
      <c r="C33" s="67" t="s">
        <v>873</v>
      </c>
      <c r="D33" s="72" t="s">
        <v>59</v>
      </c>
      <c r="E33" s="13">
        <v>44519</v>
      </c>
      <c r="F33" s="70" t="s">
        <v>169</v>
      </c>
      <c r="G33" s="13">
        <v>44520</v>
      </c>
      <c r="H33" s="71" t="s">
        <v>839</v>
      </c>
      <c r="I33" s="16">
        <v>44</v>
      </c>
      <c r="J33" s="16">
        <v>34</v>
      </c>
      <c r="K33" s="16">
        <v>28</v>
      </c>
      <c r="L33" s="16">
        <v>10</v>
      </c>
      <c r="M33" s="75">
        <v>10.472</v>
      </c>
      <c r="N33" s="109">
        <v>11</v>
      </c>
      <c r="O33" s="58">
        <v>7000</v>
      </c>
      <c r="P33" s="59">
        <f>Table224578910112345678910111213141516171819202122232425262728293031323334353738394041[[#This Row],[PEMBULATAN]]*O33</f>
        <v>77000</v>
      </c>
    </row>
    <row r="34" spans="1:16" ht="26.25" customHeight="1" x14ac:dyDescent="0.2">
      <c r="A34" s="104"/>
      <c r="B34" s="104"/>
      <c r="C34" s="67" t="s">
        <v>874</v>
      </c>
      <c r="D34" s="72" t="s">
        <v>59</v>
      </c>
      <c r="E34" s="13">
        <v>44519</v>
      </c>
      <c r="F34" s="70" t="s">
        <v>169</v>
      </c>
      <c r="G34" s="13">
        <v>44520</v>
      </c>
      <c r="H34" s="71" t="s">
        <v>839</v>
      </c>
      <c r="I34" s="16">
        <v>44</v>
      </c>
      <c r="J34" s="16">
        <v>32</v>
      </c>
      <c r="K34" s="16">
        <v>38</v>
      </c>
      <c r="L34" s="16">
        <v>12</v>
      </c>
      <c r="M34" s="75">
        <v>13.375999999999999</v>
      </c>
      <c r="N34" s="109">
        <v>14</v>
      </c>
      <c r="O34" s="58">
        <v>7000</v>
      </c>
      <c r="P34" s="59">
        <f>Table224578910112345678910111213141516171819202122232425262728293031323334353738394041[[#This Row],[PEMBULATAN]]*O34</f>
        <v>98000</v>
      </c>
    </row>
    <row r="35" spans="1:16" ht="26.25" customHeight="1" x14ac:dyDescent="0.2">
      <c r="A35" s="104"/>
      <c r="B35" s="104"/>
      <c r="C35" s="67" t="s">
        <v>875</v>
      </c>
      <c r="D35" s="72" t="s">
        <v>59</v>
      </c>
      <c r="E35" s="13">
        <v>44519</v>
      </c>
      <c r="F35" s="70" t="s">
        <v>169</v>
      </c>
      <c r="G35" s="13">
        <v>44520</v>
      </c>
      <c r="H35" s="71" t="s">
        <v>839</v>
      </c>
      <c r="I35" s="16">
        <v>33</v>
      </c>
      <c r="J35" s="16">
        <v>22</v>
      </c>
      <c r="K35" s="16">
        <v>18</v>
      </c>
      <c r="L35" s="16">
        <v>8</v>
      </c>
      <c r="M35" s="75">
        <v>3.2669999999999999</v>
      </c>
      <c r="N35" s="109">
        <v>8</v>
      </c>
      <c r="O35" s="58">
        <v>7000</v>
      </c>
      <c r="P35" s="59">
        <f>Table224578910112345678910111213141516171819202122232425262728293031323334353738394041[[#This Row],[PEMBULATAN]]*O35</f>
        <v>56000</v>
      </c>
    </row>
    <row r="36" spans="1:16" ht="26.25" customHeight="1" x14ac:dyDescent="0.2">
      <c r="A36" s="104"/>
      <c r="B36" s="104"/>
      <c r="C36" s="92" t="s">
        <v>876</v>
      </c>
      <c r="D36" s="106" t="s">
        <v>59</v>
      </c>
      <c r="E36" s="93">
        <v>44519</v>
      </c>
      <c r="F36" s="106" t="s">
        <v>169</v>
      </c>
      <c r="G36" s="93">
        <v>44520</v>
      </c>
      <c r="H36" s="92" t="s">
        <v>839</v>
      </c>
      <c r="I36" s="92">
        <v>33</v>
      </c>
      <c r="J36" s="92">
        <v>22</v>
      </c>
      <c r="K36" s="92">
        <v>18</v>
      </c>
      <c r="L36" s="92">
        <v>8</v>
      </c>
      <c r="M36" s="92">
        <v>3.2669999999999999</v>
      </c>
      <c r="N36" s="109">
        <v>8</v>
      </c>
      <c r="O36" s="58">
        <v>7000</v>
      </c>
      <c r="P36" s="59">
        <f>Table224578910112345678910111213141516171819202122232425262728293031323334353738394041[[#This Row],[PEMBULATAN]]*O36</f>
        <v>56000</v>
      </c>
    </row>
    <row r="37" spans="1:16" ht="26.25" customHeight="1" x14ac:dyDescent="0.2">
      <c r="A37" s="104"/>
      <c r="B37" s="104"/>
      <c r="C37" s="92" t="s">
        <v>877</v>
      </c>
      <c r="D37" s="106" t="s">
        <v>59</v>
      </c>
      <c r="E37" s="93">
        <v>44519</v>
      </c>
      <c r="F37" s="106" t="s">
        <v>169</v>
      </c>
      <c r="G37" s="93">
        <v>44520</v>
      </c>
      <c r="H37" s="92" t="s">
        <v>839</v>
      </c>
      <c r="I37" s="92">
        <v>33</v>
      </c>
      <c r="J37" s="92">
        <v>22</v>
      </c>
      <c r="K37" s="92">
        <v>18</v>
      </c>
      <c r="L37" s="92">
        <v>8</v>
      </c>
      <c r="M37" s="92">
        <v>3.2669999999999999</v>
      </c>
      <c r="N37" s="109">
        <v>8</v>
      </c>
      <c r="O37" s="58">
        <v>7000</v>
      </c>
      <c r="P37" s="59">
        <f>Table224578910112345678910111213141516171819202122232425262728293031323334353738394041[[#This Row],[PEMBULATAN]]*O37</f>
        <v>56000</v>
      </c>
    </row>
    <row r="38" spans="1:16" ht="26.25" customHeight="1" x14ac:dyDescent="0.2">
      <c r="A38" s="104"/>
      <c r="B38" s="104"/>
      <c r="C38" s="92" t="s">
        <v>878</v>
      </c>
      <c r="D38" s="106" t="s">
        <v>59</v>
      </c>
      <c r="E38" s="93">
        <v>44519</v>
      </c>
      <c r="F38" s="106" t="s">
        <v>169</v>
      </c>
      <c r="G38" s="93">
        <v>44520</v>
      </c>
      <c r="H38" s="92" t="s">
        <v>839</v>
      </c>
      <c r="I38" s="92">
        <v>33</v>
      </c>
      <c r="J38" s="92">
        <v>22</v>
      </c>
      <c r="K38" s="92">
        <v>18</v>
      </c>
      <c r="L38" s="92">
        <v>8</v>
      </c>
      <c r="M38" s="92">
        <v>3.2669999999999999</v>
      </c>
      <c r="N38" s="109">
        <v>8</v>
      </c>
      <c r="O38" s="58">
        <v>7000</v>
      </c>
      <c r="P38" s="59">
        <f>Table224578910112345678910111213141516171819202122232425262728293031323334353738394041[[#This Row],[PEMBULATAN]]*O38</f>
        <v>56000</v>
      </c>
    </row>
    <row r="39" spans="1:16" ht="26.25" customHeight="1" x14ac:dyDescent="0.2">
      <c r="A39" s="104"/>
      <c r="B39" s="104"/>
      <c r="C39" s="92" t="s">
        <v>879</v>
      </c>
      <c r="D39" s="106" t="s">
        <v>59</v>
      </c>
      <c r="E39" s="93">
        <v>44519</v>
      </c>
      <c r="F39" s="106" t="s">
        <v>169</v>
      </c>
      <c r="G39" s="93">
        <v>44520</v>
      </c>
      <c r="H39" s="92" t="s">
        <v>839</v>
      </c>
      <c r="I39" s="92">
        <v>33</v>
      </c>
      <c r="J39" s="92">
        <v>22</v>
      </c>
      <c r="K39" s="92">
        <v>18</v>
      </c>
      <c r="L39" s="92">
        <v>8</v>
      </c>
      <c r="M39" s="92">
        <v>3.2669999999999999</v>
      </c>
      <c r="N39" s="109">
        <v>8</v>
      </c>
      <c r="O39" s="58">
        <v>7000</v>
      </c>
      <c r="P39" s="59">
        <f>Table224578910112345678910111213141516171819202122232425262728293031323334353738394041[[#This Row],[PEMBULATAN]]*O39</f>
        <v>56000</v>
      </c>
    </row>
    <row r="40" spans="1:16" ht="26.25" customHeight="1" x14ac:dyDescent="0.2">
      <c r="A40" s="104"/>
      <c r="B40" s="104"/>
      <c r="C40" s="92" t="s">
        <v>880</v>
      </c>
      <c r="D40" s="106" t="s">
        <v>59</v>
      </c>
      <c r="E40" s="93">
        <v>44519</v>
      </c>
      <c r="F40" s="106" t="s">
        <v>169</v>
      </c>
      <c r="G40" s="93">
        <v>44520</v>
      </c>
      <c r="H40" s="92" t="s">
        <v>839</v>
      </c>
      <c r="I40" s="92">
        <v>44</v>
      </c>
      <c r="J40" s="92">
        <v>34</v>
      </c>
      <c r="K40" s="92">
        <v>28</v>
      </c>
      <c r="L40" s="92">
        <v>10</v>
      </c>
      <c r="M40" s="92">
        <v>10.472</v>
      </c>
      <c r="N40" s="109">
        <v>11</v>
      </c>
      <c r="O40" s="58">
        <v>7000</v>
      </c>
      <c r="P40" s="59">
        <f>Table224578910112345678910111213141516171819202122232425262728293031323334353738394041[[#This Row],[PEMBULATAN]]*O40</f>
        <v>77000</v>
      </c>
    </row>
    <row r="41" spans="1:16" ht="26.25" customHeight="1" x14ac:dyDescent="0.2">
      <c r="A41" s="104"/>
      <c r="B41" s="104"/>
      <c r="C41" s="92" t="s">
        <v>881</v>
      </c>
      <c r="D41" s="106" t="s">
        <v>59</v>
      </c>
      <c r="E41" s="93">
        <v>44519</v>
      </c>
      <c r="F41" s="106" t="s">
        <v>169</v>
      </c>
      <c r="G41" s="93">
        <v>44520</v>
      </c>
      <c r="H41" s="92" t="s">
        <v>839</v>
      </c>
      <c r="I41" s="92">
        <v>44</v>
      </c>
      <c r="J41" s="92">
        <v>34</v>
      </c>
      <c r="K41" s="92">
        <v>28</v>
      </c>
      <c r="L41" s="92">
        <v>12</v>
      </c>
      <c r="M41" s="92">
        <v>10.472</v>
      </c>
      <c r="N41" s="109">
        <v>13</v>
      </c>
      <c r="O41" s="58">
        <v>7000</v>
      </c>
      <c r="P41" s="59">
        <f>Table224578910112345678910111213141516171819202122232425262728293031323334353738394041[[#This Row],[PEMBULATAN]]*O41</f>
        <v>91000</v>
      </c>
    </row>
    <row r="42" spans="1:16" ht="26.25" customHeight="1" x14ac:dyDescent="0.2">
      <c r="A42" s="104"/>
      <c r="B42" s="104"/>
      <c r="C42" s="92" t="s">
        <v>882</v>
      </c>
      <c r="D42" s="106" t="s">
        <v>59</v>
      </c>
      <c r="E42" s="93">
        <v>44519</v>
      </c>
      <c r="F42" s="106" t="s">
        <v>169</v>
      </c>
      <c r="G42" s="93">
        <v>44520</v>
      </c>
      <c r="H42" s="92" t="s">
        <v>839</v>
      </c>
      <c r="I42" s="92">
        <v>44</v>
      </c>
      <c r="J42" s="92">
        <v>34</v>
      </c>
      <c r="K42" s="92">
        <v>28</v>
      </c>
      <c r="L42" s="92">
        <v>12</v>
      </c>
      <c r="M42" s="92">
        <v>10.472</v>
      </c>
      <c r="N42" s="109">
        <v>13</v>
      </c>
      <c r="O42" s="58">
        <v>7000</v>
      </c>
      <c r="P42" s="59">
        <f>Table224578910112345678910111213141516171819202122232425262728293031323334353738394041[[#This Row],[PEMBULATAN]]*O42</f>
        <v>91000</v>
      </c>
    </row>
    <row r="43" spans="1:16" ht="22.5" customHeight="1" x14ac:dyDescent="0.2">
      <c r="A43" s="145" t="s">
        <v>30</v>
      </c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7"/>
      <c r="M43" s="73">
        <f>SUBTOTAL(109,Table224578910112345678910111213141516171819202122232425262728293031323334353738394041[KG VOLUME])</f>
        <v>494.49899999999974</v>
      </c>
      <c r="N43" s="62">
        <f>SUM(N3:N42)</f>
        <v>570.15150000000006</v>
      </c>
      <c r="O43" s="148">
        <f>SUM(P3:P42)</f>
        <v>3991060.5</v>
      </c>
      <c r="P43" s="149"/>
    </row>
    <row r="44" spans="1:16" ht="18" customHeight="1" x14ac:dyDescent="0.2">
      <c r="A44" s="80"/>
      <c r="B44" s="50" t="s">
        <v>42</v>
      </c>
      <c r="C44" s="49"/>
      <c r="D44" s="51" t="s">
        <v>43</v>
      </c>
      <c r="E44" s="80"/>
      <c r="F44" s="80"/>
      <c r="G44" s="80"/>
      <c r="H44" s="80"/>
      <c r="I44" s="80"/>
      <c r="J44" s="80"/>
      <c r="K44" s="80"/>
      <c r="L44" s="80"/>
      <c r="M44" s="81"/>
      <c r="N44" s="82" t="s">
        <v>52</v>
      </c>
      <c r="O44" s="83"/>
      <c r="P44" s="83">
        <v>0</v>
      </c>
    </row>
    <row r="45" spans="1:16" ht="18" customHeight="1" thickBot="1" x14ac:dyDescent="0.25">
      <c r="A45" s="80"/>
      <c r="B45" s="50"/>
      <c r="C45" s="49"/>
      <c r="D45" s="51"/>
      <c r="E45" s="80"/>
      <c r="F45" s="80"/>
      <c r="G45" s="80"/>
      <c r="H45" s="80"/>
      <c r="I45" s="80"/>
      <c r="J45" s="80"/>
      <c r="K45" s="80"/>
      <c r="L45" s="80"/>
      <c r="M45" s="81"/>
      <c r="N45" s="84" t="s">
        <v>53</v>
      </c>
      <c r="O45" s="85"/>
      <c r="P45" s="85">
        <f>O43-P44</f>
        <v>3991060.5</v>
      </c>
    </row>
    <row r="46" spans="1:16" ht="18" customHeight="1" x14ac:dyDescent="0.2">
      <c r="A46" s="11"/>
      <c r="H46" s="57"/>
      <c r="N46" s="56" t="s">
        <v>31</v>
      </c>
      <c r="P46" s="63">
        <f>P45*1%</f>
        <v>39910.605000000003</v>
      </c>
    </row>
    <row r="47" spans="1:16" ht="18" customHeight="1" thickBot="1" x14ac:dyDescent="0.25">
      <c r="A47" s="11"/>
      <c r="H47" s="57"/>
      <c r="N47" s="56" t="s">
        <v>54</v>
      </c>
      <c r="P47" s="65">
        <f>P45*2%</f>
        <v>79821.210000000006</v>
      </c>
    </row>
    <row r="48" spans="1:16" ht="18" customHeight="1" x14ac:dyDescent="0.2">
      <c r="A48" s="11"/>
      <c r="H48" s="57"/>
      <c r="N48" s="60" t="s">
        <v>32</v>
      </c>
      <c r="O48" s="61"/>
      <c r="P48" s="64">
        <f>P45+P46-P47</f>
        <v>3951149.895</v>
      </c>
    </row>
    <row r="50" spans="1:16" x14ac:dyDescent="0.2">
      <c r="A50" s="11"/>
      <c r="H50" s="57"/>
      <c r="P50" s="65"/>
    </row>
    <row r="51" spans="1:16" x14ac:dyDescent="0.2">
      <c r="A51" s="11"/>
      <c r="H51" s="57"/>
      <c r="O51" s="52"/>
      <c r="P51" s="65"/>
    </row>
    <row r="52" spans="1:16" s="3" customFormat="1" x14ac:dyDescent="0.25">
      <c r="A52" s="11"/>
      <c r="B52" s="2"/>
      <c r="C52" s="2"/>
      <c r="E52" s="12"/>
      <c r="H52" s="57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57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57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57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57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57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57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57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57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57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57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57"/>
      <c r="N63" s="15"/>
      <c r="O63" s="15"/>
      <c r="P63" s="15"/>
    </row>
  </sheetData>
  <mergeCells count="2">
    <mergeCell ref="A43:L43"/>
    <mergeCell ref="O43:P43"/>
  </mergeCells>
  <conditionalFormatting sqref="C3:C42">
    <cfRule type="duplicateValues" dxfId="31" priority="1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1"/>
  <sheetViews>
    <sheetView workbookViewId="0">
      <selection activeCell="D9" sqref="D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2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03">
        <v>403894</v>
      </c>
      <c r="B3" s="103" t="s">
        <v>883</v>
      </c>
      <c r="C3" s="92" t="s">
        <v>884</v>
      </c>
      <c r="D3" s="106" t="s">
        <v>59</v>
      </c>
      <c r="E3" s="93">
        <v>44520</v>
      </c>
      <c r="F3" s="106" t="s">
        <v>169</v>
      </c>
      <c r="G3" s="93">
        <v>44520</v>
      </c>
      <c r="H3" s="92" t="s">
        <v>839</v>
      </c>
      <c r="I3" s="92">
        <v>67</v>
      </c>
      <c r="J3" s="92">
        <v>40</v>
      </c>
      <c r="K3" s="92">
        <v>44</v>
      </c>
      <c r="L3" s="92">
        <v>11</v>
      </c>
      <c r="M3" s="92">
        <v>29.48</v>
      </c>
      <c r="N3" s="109">
        <v>30</v>
      </c>
      <c r="O3" s="58">
        <v>7000</v>
      </c>
      <c r="P3" s="59">
        <f>Table22457891011234567891011121314151617181920212223242526272829303132333435373839404142[[#This Row],[PEMBULATAN]]*O3</f>
        <v>210000</v>
      </c>
    </row>
    <row r="4" spans="1:16" ht="26.25" customHeight="1" x14ac:dyDescent="0.2">
      <c r="A4" s="104"/>
      <c r="B4" s="104"/>
      <c r="C4" s="92" t="s">
        <v>885</v>
      </c>
      <c r="D4" s="106" t="s">
        <v>59</v>
      </c>
      <c r="E4" s="93">
        <v>44520</v>
      </c>
      <c r="F4" s="106" t="s">
        <v>169</v>
      </c>
      <c r="G4" s="93">
        <v>44520</v>
      </c>
      <c r="H4" s="92" t="s">
        <v>839</v>
      </c>
      <c r="I4" s="92">
        <v>40</v>
      </c>
      <c r="J4" s="92">
        <v>33</v>
      </c>
      <c r="K4" s="92">
        <v>22</v>
      </c>
      <c r="L4" s="92">
        <v>5</v>
      </c>
      <c r="M4" s="92">
        <v>7.26</v>
      </c>
      <c r="N4" s="109">
        <v>7.26</v>
      </c>
      <c r="O4" s="58">
        <v>7000</v>
      </c>
      <c r="P4" s="59">
        <f>Table22457891011234567891011121314151617181920212223242526272829303132333435373839404142[[#This Row],[PEMBULATAN]]*O4</f>
        <v>50820</v>
      </c>
    </row>
    <row r="5" spans="1:16" ht="26.25" customHeight="1" x14ac:dyDescent="0.2">
      <c r="A5" s="104"/>
      <c r="B5" s="104"/>
      <c r="C5" s="92" t="s">
        <v>886</v>
      </c>
      <c r="D5" s="106" t="s">
        <v>59</v>
      </c>
      <c r="E5" s="93">
        <v>44520</v>
      </c>
      <c r="F5" s="106" t="s">
        <v>169</v>
      </c>
      <c r="G5" s="93">
        <v>44520</v>
      </c>
      <c r="H5" s="92" t="s">
        <v>839</v>
      </c>
      <c r="I5" s="92">
        <v>100</v>
      </c>
      <c r="J5" s="92">
        <v>36</v>
      </c>
      <c r="K5" s="92">
        <v>7</v>
      </c>
      <c r="L5" s="92">
        <v>6</v>
      </c>
      <c r="M5" s="92">
        <v>6.3</v>
      </c>
      <c r="N5" s="109">
        <v>7</v>
      </c>
      <c r="O5" s="58">
        <v>7000</v>
      </c>
      <c r="P5" s="59">
        <f>Table22457891011234567891011121314151617181920212223242526272829303132333435373839404142[[#This Row],[PEMBULATAN]]*O5</f>
        <v>49000</v>
      </c>
    </row>
    <row r="6" spans="1:16" ht="26.25" customHeight="1" x14ac:dyDescent="0.2">
      <c r="A6" s="104"/>
      <c r="B6" s="104"/>
      <c r="C6" s="92" t="s">
        <v>887</v>
      </c>
      <c r="D6" s="106" t="s">
        <v>59</v>
      </c>
      <c r="E6" s="93">
        <v>44520</v>
      </c>
      <c r="F6" s="106" t="s">
        <v>169</v>
      </c>
      <c r="G6" s="93">
        <v>44520</v>
      </c>
      <c r="H6" s="92" t="s">
        <v>839</v>
      </c>
      <c r="I6" s="92">
        <v>60</v>
      </c>
      <c r="J6" s="92">
        <v>46</v>
      </c>
      <c r="K6" s="92">
        <v>27</v>
      </c>
      <c r="L6" s="92">
        <v>9</v>
      </c>
      <c r="M6" s="92">
        <v>18.63</v>
      </c>
      <c r="N6" s="109">
        <v>18.63</v>
      </c>
      <c r="O6" s="58">
        <v>7000</v>
      </c>
      <c r="P6" s="59">
        <f>Table22457891011234567891011121314151617181920212223242526272829303132333435373839404142[[#This Row],[PEMBULATAN]]*O6</f>
        <v>130410</v>
      </c>
    </row>
    <row r="7" spans="1:16" ht="26.25" customHeight="1" x14ac:dyDescent="0.2">
      <c r="A7" s="104"/>
      <c r="B7" s="104"/>
      <c r="C7" s="67" t="s">
        <v>888</v>
      </c>
      <c r="D7" s="72" t="s">
        <v>59</v>
      </c>
      <c r="E7" s="13">
        <v>44520</v>
      </c>
      <c r="F7" s="70" t="s">
        <v>169</v>
      </c>
      <c r="G7" s="13">
        <v>44520</v>
      </c>
      <c r="H7" s="71" t="s">
        <v>839</v>
      </c>
      <c r="I7" s="16">
        <v>34</v>
      </c>
      <c r="J7" s="16">
        <v>22</v>
      </c>
      <c r="K7" s="16">
        <v>25</v>
      </c>
      <c r="L7" s="16">
        <v>17</v>
      </c>
      <c r="M7" s="75">
        <v>4.6749999999999998</v>
      </c>
      <c r="N7" s="109">
        <v>17</v>
      </c>
      <c r="O7" s="58">
        <v>7000</v>
      </c>
      <c r="P7" s="59">
        <f>Table22457891011234567891011121314151617181920212223242526272829303132333435373839404142[[#This Row],[PEMBULATAN]]*O7</f>
        <v>119000</v>
      </c>
    </row>
    <row r="8" spans="1:16" ht="26.25" customHeight="1" x14ac:dyDescent="0.2">
      <c r="A8" s="104"/>
      <c r="B8" s="104"/>
      <c r="C8" s="67" t="s">
        <v>889</v>
      </c>
      <c r="D8" s="72" t="s">
        <v>59</v>
      </c>
      <c r="E8" s="13">
        <v>44520</v>
      </c>
      <c r="F8" s="70" t="s">
        <v>169</v>
      </c>
      <c r="G8" s="13">
        <v>44520</v>
      </c>
      <c r="H8" s="71" t="s">
        <v>839</v>
      </c>
      <c r="I8" s="16">
        <v>44</v>
      </c>
      <c r="J8" s="16">
        <v>40</v>
      </c>
      <c r="K8" s="16">
        <v>30</v>
      </c>
      <c r="L8" s="16">
        <v>9</v>
      </c>
      <c r="M8" s="75">
        <v>13.2</v>
      </c>
      <c r="N8" s="109">
        <v>13.2</v>
      </c>
      <c r="O8" s="58">
        <v>7000</v>
      </c>
      <c r="P8" s="59">
        <f>Table22457891011234567891011121314151617181920212223242526272829303132333435373839404142[[#This Row],[PEMBULATAN]]*O8</f>
        <v>92400</v>
      </c>
    </row>
    <row r="9" spans="1:16" ht="26.25" customHeight="1" x14ac:dyDescent="0.2">
      <c r="A9" s="104"/>
      <c r="B9" s="104"/>
      <c r="C9" s="67" t="s">
        <v>890</v>
      </c>
      <c r="D9" s="72" t="s">
        <v>59</v>
      </c>
      <c r="E9" s="13">
        <v>44520</v>
      </c>
      <c r="F9" s="70" t="s">
        <v>169</v>
      </c>
      <c r="G9" s="13">
        <v>44520</v>
      </c>
      <c r="H9" s="71" t="s">
        <v>839</v>
      </c>
      <c r="I9" s="16">
        <v>62</v>
      </c>
      <c r="J9" s="16">
        <v>35</v>
      </c>
      <c r="K9" s="16">
        <v>20</v>
      </c>
      <c r="L9" s="16">
        <v>9</v>
      </c>
      <c r="M9" s="75">
        <v>10.85</v>
      </c>
      <c r="N9" s="109">
        <v>10.85</v>
      </c>
      <c r="O9" s="58">
        <v>7000</v>
      </c>
      <c r="P9" s="59">
        <f>Table22457891011234567891011121314151617181920212223242526272829303132333435373839404142[[#This Row],[PEMBULATAN]]*O9</f>
        <v>75950</v>
      </c>
    </row>
    <row r="10" spans="1:16" ht="26.25" customHeight="1" x14ac:dyDescent="0.2">
      <c r="A10" s="104"/>
      <c r="B10" s="104"/>
      <c r="C10" s="67" t="s">
        <v>891</v>
      </c>
      <c r="D10" s="72" t="s">
        <v>59</v>
      </c>
      <c r="E10" s="13">
        <v>44520</v>
      </c>
      <c r="F10" s="70" t="s">
        <v>169</v>
      </c>
      <c r="G10" s="13">
        <v>44520</v>
      </c>
      <c r="H10" s="71" t="s">
        <v>839</v>
      </c>
      <c r="I10" s="16">
        <v>60</v>
      </c>
      <c r="J10" s="16">
        <v>51</v>
      </c>
      <c r="K10" s="16">
        <v>30</v>
      </c>
      <c r="L10" s="16">
        <v>7</v>
      </c>
      <c r="M10" s="75">
        <v>22.95</v>
      </c>
      <c r="N10" s="109">
        <v>22.95</v>
      </c>
      <c r="O10" s="58">
        <v>7000</v>
      </c>
      <c r="P10" s="59">
        <f>Table22457891011234567891011121314151617181920212223242526272829303132333435373839404142[[#This Row],[PEMBULATAN]]*O10</f>
        <v>160650</v>
      </c>
    </row>
    <row r="11" spans="1:16" ht="26.25" customHeight="1" x14ac:dyDescent="0.2">
      <c r="A11" s="104"/>
      <c r="B11" s="104"/>
      <c r="C11" s="67" t="s">
        <v>892</v>
      </c>
      <c r="D11" s="72" t="s">
        <v>59</v>
      </c>
      <c r="E11" s="13">
        <v>44520</v>
      </c>
      <c r="F11" s="70" t="s">
        <v>169</v>
      </c>
      <c r="G11" s="13">
        <v>44520</v>
      </c>
      <c r="H11" s="71" t="s">
        <v>839</v>
      </c>
      <c r="I11" s="16">
        <v>40</v>
      </c>
      <c r="J11" s="16">
        <v>28</v>
      </c>
      <c r="K11" s="16">
        <v>10</v>
      </c>
      <c r="L11" s="16">
        <v>6</v>
      </c>
      <c r="M11" s="75">
        <v>2.8</v>
      </c>
      <c r="N11" s="109">
        <v>6</v>
      </c>
      <c r="O11" s="58">
        <v>7000</v>
      </c>
      <c r="P11" s="59">
        <f>Table22457891011234567891011121314151617181920212223242526272829303132333435373839404142[[#This Row],[PEMBULATAN]]*O11</f>
        <v>42000</v>
      </c>
    </row>
    <row r="12" spans="1:16" ht="26.25" customHeight="1" x14ac:dyDescent="0.2">
      <c r="A12" s="104"/>
      <c r="B12" s="104"/>
      <c r="C12" s="67" t="s">
        <v>893</v>
      </c>
      <c r="D12" s="72" t="s">
        <v>59</v>
      </c>
      <c r="E12" s="13">
        <v>44520</v>
      </c>
      <c r="F12" s="70" t="s">
        <v>169</v>
      </c>
      <c r="G12" s="13">
        <v>44520</v>
      </c>
      <c r="H12" s="71" t="s">
        <v>839</v>
      </c>
      <c r="I12" s="16">
        <v>44</v>
      </c>
      <c r="J12" s="16">
        <v>34</v>
      </c>
      <c r="K12" s="16">
        <v>23</v>
      </c>
      <c r="L12" s="16">
        <v>11</v>
      </c>
      <c r="M12" s="75">
        <v>8.6020000000000003</v>
      </c>
      <c r="N12" s="109">
        <v>11</v>
      </c>
      <c r="O12" s="58">
        <v>7000</v>
      </c>
      <c r="P12" s="59">
        <f>Table22457891011234567891011121314151617181920212223242526272829303132333435373839404142[[#This Row],[PEMBULATAN]]*O12</f>
        <v>77000</v>
      </c>
    </row>
    <row r="13" spans="1:16" ht="26.25" customHeight="1" x14ac:dyDescent="0.2">
      <c r="A13" s="104"/>
      <c r="B13" s="104"/>
      <c r="C13" s="67" t="s">
        <v>894</v>
      </c>
      <c r="D13" s="72" t="s">
        <v>59</v>
      </c>
      <c r="E13" s="13">
        <v>44520</v>
      </c>
      <c r="F13" s="70" t="s">
        <v>169</v>
      </c>
      <c r="G13" s="13">
        <v>44520</v>
      </c>
      <c r="H13" s="71" t="s">
        <v>839</v>
      </c>
      <c r="I13" s="16">
        <v>38</v>
      </c>
      <c r="J13" s="16">
        <v>28</v>
      </c>
      <c r="K13" s="16">
        <v>28</v>
      </c>
      <c r="L13" s="16">
        <v>6</v>
      </c>
      <c r="M13" s="75">
        <v>7.4480000000000004</v>
      </c>
      <c r="N13" s="109">
        <v>8</v>
      </c>
      <c r="O13" s="58">
        <v>7000</v>
      </c>
      <c r="P13" s="59">
        <f>Table22457891011234567891011121314151617181920212223242526272829303132333435373839404142[[#This Row],[PEMBULATAN]]*O13</f>
        <v>56000</v>
      </c>
    </row>
    <row r="14" spans="1:16" ht="26.25" customHeight="1" x14ac:dyDescent="0.2">
      <c r="A14" s="104"/>
      <c r="B14" s="104"/>
      <c r="C14" s="67" t="s">
        <v>895</v>
      </c>
      <c r="D14" s="72" t="s">
        <v>59</v>
      </c>
      <c r="E14" s="13">
        <v>44520</v>
      </c>
      <c r="F14" s="70" t="s">
        <v>169</v>
      </c>
      <c r="G14" s="13">
        <v>44520</v>
      </c>
      <c r="H14" s="71" t="s">
        <v>839</v>
      </c>
      <c r="I14" s="16">
        <v>54</v>
      </c>
      <c r="J14" s="16">
        <v>54</v>
      </c>
      <c r="K14" s="16">
        <v>40</v>
      </c>
      <c r="L14" s="16">
        <v>17</v>
      </c>
      <c r="M14" s="75">
        <v>29.16</v>
      </c>
      <c r="N14" s="109">
        <v>29.16</v>
      </c>
      <c r="O14" s="58">
        <v>7000</v>
      </c>
      <c r="P14" s="59">
        <f>Table22457891011234567891011121314151617181920212223242526272829303132333435373839404142[[#This Row],[PEMBULATAN]]*O14</f>
        <v>204120</v>
      </c>
    </row>
    <row r="15" spans="1:16" ht="26.25" customHeight="1" x14ac:dyDescent="0.2">
      <c r="A15" s="104"/>
      <c r="B15" s="104"/>
      <c r="C15" s="67" t="s">
        <v>896</v>
      </c>
      <c r="D15" s="72" t="s">
        <v>59</v>
      </c>
      <c r="E15" s="13">
        <v>44520</v>
      </c>
      <c r="F15" s="70" t="s">
        <v>169</v>
      </c>
      <c r="G15" s="13">
        <v>44520</v>
      </c>
      <c r="H15" s="71" t="s">
        <v>839</v>
      </c>
      <c r="I15" s="16">
        <v>57</v>
      </c>
      <c r="J15" s="16">
        <v>23</v>
      </c>
      <c r="K15" s="16">
        <v>30</v>
      </c>
      <c r="L15" s="16">
        <v>8</v>
      </c>
      <c r="M15" s="75">
        <v>9.8324999999999996</v>
      </c>
      <c r="N15" s="109">
        <v>9.8324999999999996</v>
      </c>
      <c r="O15" s="58">
        <v>7000</v>
      </c>
      <c r="P15" s="59">
        <f>Table22457891011234567891011121314151617181920212223242526272829303132333435373839404142[[#This Row],[PEMBULATAN]]*O15</f>
        <v>68827.5</v>
      </c>
    </row>
    <row r="16" spans="1:16" ht="26.25" customHeight="1" x14ac:dyDescent="0.2">
      <c r="A16" s="104"/>
      <c r="B16" s="104"/>
      <c r="C16" s="67" t="s">
        <v>897</v>
      </c>
      <c r="D16" s="72" t="s">
        <v>59</v>
      </c>
      <c r="E16" s="13">
        <v>44520</v>
      </c>
      <c r="F16" s="70" t="s">
        <v>169</v>
      </c>
      <c r="G16" s="13">
        <v>44520</v>
      </c>
      <c r="H16" s="71" t="s">
        <v>839</v>
      </c>
      <c r="I16" s="16">
        <v>40</v>
      </c>
      <c r="J16" s="16">
        <v>30</v>
      </c>
      <c r="K16" s="16">
        <v>20</v>
      </c>
      <c r="L16" s="16">
        <v>7</v>
      </c>
      <c r="M16" s="75">
        <v>6</v>
      </c>
      <c r="N16" s="109">
        <v>7</v>
      </c>
      <c r="O16" s="58">
        <v>7000</v>
      </c>
      <c r="P16" s="59">
        <f>Table22457891011234567891011121314151617181920212223242526272829303132333435373839404142[[#This Row],[PEMBULATAN]]*O16</f>
        <v>49000</v>
      </c>
    </row>
    <row r="17" spans="1:16" ht="26.25" customHeight="1" x14ac:dyDescent="0.2">
      <c r="A17" s="104"/>
      <c r="B17" s="104"/>
      <c r="C17" s="67" t="s">
        <v>898</v>
      </c>
      <c r="D17" s="72" t="s">
        <v>59</v>
      </c>
      <c r="E17" s="13">
        <v>44520</v>
      </c>
      <c r="F17" s="70" t="s">
        <v>169</v>
      </c>
      <c r="G17" s="13">
        <v>44520</v>
      </c>
      <c r="H17" s="71" t="s">
        <v>839</v>
      </c>
      <c r="I17" s="16">
        <v>31</v>
      </c>
      <c r="J17" s="16">
        <v>30</v>
      </c>
      <c r="K17" s="16">
        <v>5</v>
      </c>
      <c r="L17" s="16">
        <v>7</v>
      </c>
      <c r="M17" s="75">
        <v>1.1625000000000001</v>
      </c>
      <c r="N17" s="109">
        <v>7</v>
      </c>
      <c r="O17" s="58">
        <v>7000</v>
      </c>
      <c r="P17" s="59">
        <f>Table22457891011234567891011121314151617181920212223242526272829303132333435373839404142[[#This Row],[PEMBULATAN]]*O17</f>
        <v>49000</v>
      </c>
    </row>
    <row r="18" spans="1:16" ht="26.25" customHeight="1" x14ac:dyDescent="0.2">
      <c r="A18" s="104"/>
      <c r="B18" s="104"/>
      <c r="C18" s="67" t="s">
        <v>899</v>
      </c>
      <c r="D18" s="72" t="s">
        <v>59</v>
      </c>
      <c r="E18" s="13">
        <v>44520</v>
      </c>
      <c r="F18" s="70" t="s">
        <v>169</v>
      </c>
      <c r="G18" s="13">
        <v>44520</v>
      </c>
      <c r="H18" s="71" t="s">
        <v>839</v>
      </c>
      <c r="I18" s="16">
        <v>47</v>
      </c>
      <c r="J18" s="16">
        <v>38</v>
      </c>
      <c r="K18" s="16">
        <v>33</v>
      </c>
      <c r="L18" s="16">
        <v>14</v>
      </c>
      <c r="M18" s="75">
        <v>14.734500000000001</v>
      </c>
      <c r="N18" s="109">
        <v>14.734500000000001</v>
      </c>
      <c r="O18" s="58">
        <v>7000</v>
      </c>
      <c r="P18" s="59">
        <f>Table22457891011234567891011121314151617181920212223242526272829303132333435373839404142[[#This Row],[PEMBULATAN]]*O18</f>
        <v>103141.5</v>
      </c>
    </row>
    <row r="19" spans="1:16" ht="26.25" customHeight="1" x14ac:dyDescent="0.2">
      <c r="A19" s="104"/>
      <c r="B19" s="104"/>
      <c r="C19" s="67" t="s">
        <v>900</v>
      </c>
      <c r="D19" s="72" t="s">
        <v>59</v>
      </c>
      <c r="E19" s="13">
        <v>44520</v>
      </c>
      <c r="F19" s="70" t="s">
        <v>169</v>
      </c>
      <c r="G19" s="13">
        <v>44520</v>
      </c>
      <c r="H19" s="71" t="s">
        <v>839</v>
      </c>
      <c r="I19" s="16">
        <v>56</v>
      </c>
      <c r="J19" s="16">
        <v>30</v>
      </c>
      <c r="K19" s="16">
        <v>30</v>
      </c>
      <c r="L19" s="16">
        <v>14</v>
      </c>
      <c r="M19" s="75">
        <v>12.6</v>
      </c>
      <c r="N19" s="109">
        <v>14</v>
      </c>
      <c r="O19" s="58">
        <v>7000</v>
      </c>
      <c r="P19" s="59">
        <f>Table22457891011234567891011121314151617181920212223242526272829303132333435373839404142[[#This Row],[PEMBULATAN]]*O19</f>
        <v>98000</v>
      </c>
    </row>
    <row r="20" spans="1:16" ht="26.25" customHeight="1" x14ac:dyDescent="0.2">
      <c r="A20" s="104"/>
      <c r="B20" s="104"/>
      <c r="C20" s="67" t="s">
        <v>901</v>
      </c>
      <c r="D20" s="72" t="s">
        <v>59</v>
      </c>
      <c r="E20" s="13">
        <v>44520</v>
      </c>
      <c r="F20" s="70" t="s">
        <v>169</v>
      </c>
      <c r="G20" s="13">
        <v>44520</v>
      </c>
      <c r="H20" s="71" t="s">
        <v>839</v>
      </c>
      <c r="I20" s="16">
        <v>40</v>
      </c>
      <c r="J20" s="16">
        <v>37</v>
      </c>
      <c r="K20" s="16">
        <v>26</v>
      </c>
      <c r="L20" s="16">
        <v>17</v>
      </c>
      <c r="M20" s="75">
        <v>9.6199999999999992</v>
      </c>
      <c r="N20" s="109">
        <v>17</v>
      </c>
      <c r="O20" s="58">
        <v>7000</v>
      </c>
      <c r="P20" s="59">
        <f>Table22457891011234567891011121314151617181920212223242526272829303132333435373839404142[[#This Row],[PEMBULATAN]]*O20</f>
        <v>119000</v>
      </c>
    </row>
    <row r="21" spans="1:16" ht="26.25" customHeight="1" x14ac:dyDescent="0.2">
      <c r="A21" s="104"/>
      <c r="B21" s="104"/>
      <c r="C21" s="67" t="s">
        <v>902</v>
      </c>
      <c r="D21" s="72" t="s">
        <v>59</v>
      </c>
      <c r="E21" s="13">
        <v>44520</v>
      </c>
      <c r="F21" s="70" t="s">
        <v>169</v>
      </c>
      <c r="G21" s="13">
        <v>44520</v>
      </c>
      <c r="H21" s="71" t="s">
        <v>839</v>
      </c>
      <c r="I21" s="16">
        <v>57</v>
      </c>
      <c r="J21" s="16">
        <v>50</v>
      </c>
      <c r="K21" s="16">
        <v>34</v>
      </c>
      <c r="L21" s="16">
        <v>20</v>
      </c>
      <c r="M21" s="75">
        <v>24.225000000000001</v>
      </c>
      <c r="N21" s="109">
        <v>24.225000000000001</v>
      </c>
      <c r="O21" s="58">
        <v>7000</v>
      </c>
      <c r="P21" s="59">
        <f>Table22457891011234567891011121314151617181920212223242526272829303132333435373839404142[[#This Row],[PEMBULATAN]]*O21</f>
        <v>169575</v>
      </c>
    </row>
    <row r="22" spans="1:16" ht="26.25" customHeight="1" x14ac:dyDescent="0.2">
      <c r="A22" s="104"/>
      <c r="B22" s="104"/>
      <c r="C22" s="67" t="s">
        <v>903</v>
      </c>
      <c r="D22" s="72" t="s">
        <v>59</v>
      </c>
      <c r="E22" s="13">
        <v>44520</v>
      </c>
      <c r="F22" s="70" t="s">
        <v>169</v>
      </c>
      <c r="G22" s="13">
        <v>44520</v>
      </c>
      <c r="H22" s="71" t="s">
        <v>839</v>
      </c>
      <c r="I22" s="16">
        <v>55</v>
      </c>
      <c r="J22" s="16">
        <v>34</v>
      </c>
      <c r="K22" s="16">
        <v>17</v>
      </c>
      <c r="L22" s="16">
        <v>20</v>
      </c>
      <c r="M22" s="75">
        <v>7.9474999999999998</v>
      </c>
      <c r="N22" s="109">
        <v>20</v>
      </c>
      <c r="O22" s="58">
        <v>7000</v>
      </c>
      <c r="P22" s="59">
        <f>Table22457891011234567891011121314151617181920212223242526272829303132333435373839404142[[#This Row],[PEMBULATAN]]*O22</f>
        <v>140000</v>
      </c>
    </row>
    <row r="23" spans="1:16" ht="26.25" customHeight="1" x14ac:dyDescent="0.2">
      <c r="A23" s="104"/>
      <c r="B23" s="104"/>
      <c r="C23" s="67" t="s">
        <v>904</v>
      </c>
      <c r="D23" s="72" t="s">
        <v>59</v>
      </c>
      <c r="E23" s="13">
        <v>44520</v>
      </c>
      <c r="F23" s="70" t="s">
        <v>169</v>
      </c>
      <c r="G23" s="13">
        <v>44520</v>
      </c>
      <c r="H23" s="71" t="s">
        <v>839</v>
      </c>
      <c r="I23" s="16">
        <v>45</v>
      </c>
      <c r="J23" s="16">
        <v>40</v>
      </c>
      <c r="K23" s="16">
        <v>38</v>
      </c>
      <c r="L23" s="16">
        <v>10</v>
      </c>
      <c r="M23" s="75">
        <v>17.100000000000001</v>
      </c>
      <c r="N23" s="109">
        <v>17.100000000000001</v>
      </c>
      <c r="O23" s="58">
        <v>7000</v>
      </c>
      <c r="P23" s="59">
        <f>Table22457891011234567891011121314151617181920212223242526272829303132333435373839404142[[#This Row],[PEMBULATAN]]*O23</f>
        <v>119700.00000000001</v>
      </c>
    </row>
    <row r="24" spans="1:16" ht="26.25" customHeight="1" x14ac:dyDescent="0.2">
      <c r="A24" s="104"/>
      <c r="B24" s="104"/>
      <c r="C24" s="67" t="s">
        <v>905</v>
      </c>
      <c r="D24" s="72" t="s">
        <v>59</v>
      </c>
      <c r="E24" s="13">
        <v>44520</v>
      </c>
      <c r="F24" s="70" t="s">
        <v>169</v>
      </c>
      <c r="G24" s="13">
        <v>44520</v>
      </c>
      <c r="H24" s="71" t="s">
        <v>839</v>
      </c>
      <c r="I24" s="16">
        <v>42</v>
      </c>
      <c r="J24" s="16">
        <v>40</v>
      </c>
      <c r="K24" s="16">
        <v>37</v>
      </c>
      <c r="L24" s="16">
        <v>7</v>
      </c>
      <c r="M24" s="75">
        <v>15.54</v>
      </c>
      <c r="N24" s="109">
        <v>15.54</v>
      </c>
      <c r="O24" s="58">
        <v>7000</v>
      </c>
      <c r="P24" s="59">
        <f>Table22457891011234567891011121314151617181920212223242526272829303132333435373839404142[[#This Row],[PEMBULATAN]]*O24</f>
        <v>108780</v>
      </c>
    </row>
    <row r="25" spans="1:16" ht="26.25" customHeight="1" x14ac:dyDescent="0.2">
      <c r="A25" s="104"/>
      <c r="B25" s="104"/>
      <c r="C25" s="67" t="s">
        <v>906</v>
      </c>
      <c r="D25" s="72" t="s">
        <v>59</v>
      </c>
      <c r="E25" s="13">
        <v>44520</v>
      </c>
      <c r="F25" s="70" t="s">
        <v>169</v>
      </c>
      <c r="G25" s="13">
        <v>44520</v>
      </c>
      <c r="H25" s="71" t="s">
        <v>839</v>
      </c>
      <c r="I25" s="16">
        <v>64</v>
      </c>
      <c r="J25" s="16">
        <v>35</v>
      </c>
      <c r="K25" s="16">
        <v>40</v>
      </c>
      <c r="L25" s="16">
        <v>10</v>
      </c>
      <c r="M25" s="75">
        <v>22.4</v>
      </c>
      <c r="N25" s="109">
        <v>23</v>
      </c>
      <c r="O25" s="58">
        <v>7000</v>
      </c>
      <c r="P25" s="59">
        <f>Table22457891011234567891011121314151617181920212223242526272829303132333435373839404142[[#This Row],[PEMBULATAN]]*O25</f>
        <v>161000</v>
      </c>
    </row>
    <row r="26" spans="1:16" ht="26.25" customHeight="1" x14ac:dyDescent="0.2">
      <c r="A26" s="104"/>
      <c r="B26" s="105"/>
      <c r="C26" s="67" t="s">
        <v>907</v>
      </c>
      <c r="D26" s="72" t="s">
        <v>59</v>
      </c>
      <c r="E26" s="13">
        <v>44520</v>
      </c>
      <c r="F26" s="70" t="s">
        <v>169</v>
      </c>
      <c r="G26" s="13">
        <v>44520</v>
      </c>
      <c r="H26" s="71" t="s">
        <v>839</v>
      </c>
      <c r="I26" s="16">
        <v>58</v>
      </c>
      <c r="J26" s="16">
        <v>52</v>
      </c>
      <c r="K26" s="16">
        <v>38</v>
      </c>
      <c r="L26" s="16">
        <v>14</v>
      </c>
      <c r="M26" s="75">
        <v>28.652000000000001</v>
      </c>
      <c r="N26" s="109">
        <v>28.652000000000001</v>
      </c>
      <c r="O26" s="58">
        <v>7000</v>
      </c>
      <c r="P26" s="59">
        <f>Table22457891011234567891011121314151617181920212223242526272829303132333435373839404142[[#This Row],[PEMBULATAN]]*O26</f>
        <v>200564</v>
      </c>
    </row>
    <row r="27" spans="1:16" ht="26.25" customHeight="1" x14ac:dyDescent="0.2">
      <c r="A27" s="104"/>
      <c r="B27" s="104" t="s">
        <v>908</v>
      </c>
      <c r="C27" s="67" t="s">
        <v>909</v>
      </c>
      <c r="D27" s="72" t="s">
        <v>59</v>
      </c>
      <c r="E27" s="13">
        <v>44520</v>
      </c>
      <c r="F27" s="70" t="s">
        <v>169</v>
      </c>
      <c r="G27" s="13">
        <v>44520</v>
      </c>
      <c r="H27" s="71" t="s">
        <v>839</v>
      </c>
      <c r="I27" s="16">
        <v>52</v>
      </c>
      <c r="J27" s="16">
        <v>42</v>
      </c>
      <c r="K27" s="16">
        <v>12</v>
      </c>
      <c r="L27" s="16">
        <v>6</v>
      </c>
      <c r="M27" s="75">
        <v>6.5519999999999996</v>
      </c>
      <c r="N27" s="109">
        <v>6.5519999999999996</v>
      </c>
      <c r="O27" s="58">
        <v>7000</v>
      </c>
      <c r="P27" s="59">
        <f>Table22457891011234567891011121314151617181920212223242526272829303132333435373839404142[[#This Row],[PEMBULATAN]]*O27</f>
        <v>45864</v>
      </c>
    </row>
    <row r="28" spans="1:16" ht="26.25" customHeight="1" x14ac:dyDescent="0.2">
      <c r="A28" s="104"/>
      <c r="B28" s="104"/>
      <c r="C28" s="67" t="s">
        <v>910</v>
      </c>
      <c r="D28" s="72" t="s">
        <v>59</v>
      </c>
      <c r="E28" s="13">
        <v>44520</v>
      </c>
      <c r="F28" s="70" t="s">
        <v>169</v>
      </c>
      <c r="G28" s="13">
        <v>44520</v>
      </c>
      <c r="H28" s="71" t="s">
        <v>839</v>
      </c>
      <c r="I28" s="16">
        <v>47</v>
      </c>
      <c r="J28" s="16">
        <v>40</v>
      </c>
      <c r="K28" s="16">
        <v>25</v>
      </c>
      <c r="L28" s="16">
        <v>8</v>
      </c>
      <c r="M28" s="75">
        <v>11.75</v>
      </c>
      <c r="N28" s="109">
        <v>11.75</v>
      </c>
      <c r="O28" s="58">
        <v>7000</v>
      </c>
      <c r="P28" s="59">
        <f>Table22457891011234567891011121314151617181920212223242526272829303132333435373839404142[[#This Row],[PEMBULATAN]]*O28</f>
        <v>82250</v>
      </c>
    </row>
    <row r="29" spans="1:16" ht="26.25" customHeight="1" x14ac:dyDescent="0.2">
      <c r="A29" s="104"/>
      <c r="B29" s="104"/>
      <c r="C29" s="67" t="s">
        <v>911</v>
      </c>
      <c r="D29" s="72" t="s">
        <v>59</v>
      </c>
      <c r="E29" s="13">
        <v>44520</v>
      </c>
      <c r="F29" s="70" t="s">
        <v>169</v>
      </c>
      <c r="G29" s="13">
        <v>44520</v>
      </c>
      <c r="H29" s="71" t="s">
        <v>839</v>
      </c>
      <c r="I29" s="16">
        <v>40</v>
      </c>
      <c r="J29" s="16">
        <v>37</v>
      </c>
      <c r="K29" s="16">
        <v>23</v>
      </c>
      <c r="L29" s="16">
        <v>7</v>
      </c>
      <c r="M29" s="75">
        <v>8.51</v>
      </c>
      <c r="N29" s="109">
        <v>8.51</v>
      </c>
      <c r="O29" s="58">
        <v>7000</v>
      </c>
      <c r="P29" s="59">
        <f>Table22457891011234567891011121314151617181920212223242526272829303132333435373839404142[[#This Row],[PEMBULATAN]]*O29</f>
        <v>59570</v>
      </c>
    </row>
    <row r="30" spans="1:16" ht="26.25" customHeight="1" x14ac:dyDescent="0.2">
      <c r="A30" s="104"/>
      <c r="B30" s="104"/>
      <c r="C30" s="67" t="s">
        <v>912</v>
      </c>
      <c r="D30" s="72" t="s">
        <v>59</v>
      </c>
      <c r="E30" s="13">
        <v>44520</v>
      </c>
      <c r="F30" s="70" t="s">
        <v>169</v>
      </c>
      <c r="G30" s="13">
        <v>44520</v>
      </c>
      <c r="H30" s="71" t="s">
        <v>839</v>
      </c>
      <c r="I30" s="16">
        <v>53</v>
      </c>
      <c r="J30" s="16">
        <v>51</v>
      </c>
      <c r="K30" s="16">
        <v>33</v>
      </c>
      <c r="L30" s="16">
        <v>18</v>
      </c>
      <c r="M30" s="75">
        <v>22.29975</v>
      </c>
      <c r="N30" s="109">
        <v>23</v>
      </c>
      <c r="O30" s="58">
        <v>7000</v>
      </c>
      <c r="P30" s="59">
        <f>Table22457891011234567891011121314151617181920212223242526272829303132333435373839404142[[#This Row],[PEMBULATAN]]*O30</f>
        <v>161000</v>
      </c>
    </row>
    <row r="31" spans="1:16" ht="22.5" customHeight="1" x14ac:dyDescent="0.2">
      <c r="A31" s="145" t="s">
        <v>30</v>
      </c>
      <c r="B31" s="146"/>
      <c r="C31" s="146"/>
      <c r="D31" s="146"/>
      <c r="E31" s="146"/>
      <c r="F31" s="146"/>
      <c r="G31" s="146"/>
      <c r="H31" s="146"/>
      <c r="I31" s="146"/>
      <c r="J31" s="146"/>
      <c r="K31" s="146"/>
      <c r="L31" s="147"/>
      <c r="M31" s="73">
        <f>SUBTOTAL(109,Table22457891011234567891011121314151617181920212223242526272829303132333435373839404142[KG VOLUME])</f>
        <v>380.28075000000001</v>
      </c>
      <c r="N31" s="62">
        <f>SUM(N3:N30)</f>
        <v>428.94600000000003</v>
      </c>
      <c r="O31" s="148">
        <f>SUM(P3:P30)</f>
        <v>3002622</v>
      </c>
      <c r="P31" s="149"/>
    </row>
    <row r="32" spans="1:16" ht="18" customHeight="1" x14ac:dyDescent="0.2">
      <c r="A32" s="80"/>
      <c r="B32" s="50" t="s">
        <v>42</v>
      </c>
      <c r="C32" s="49"/>
      <c r="D32" s="51" t="s">
        <v>43</v>
      </c>
      <c r="E32" s="80"/>
      <c r="F32" s="80"/>
      <c r="G32" s="80"/>
      <c r="H32" s="80"/>
      <c r="I32" s="80"/>
      <c r="J32" s="80"/>
      <c r="K32" s="80"/>
      <c r="L32" s="80"/>
      <c r="M32" s="81"/>
      <c r="N32" s="82" t="s">
        <v>52</v>
      </c>
      <c r="O32" s="83"/>
      <c r="P32" s="83">
        <v>0</v>
      </c>
    </row>
    <row r="33" spans="1:16" ht="18" customHeight="1" thickBot="1" x14ac:dyDescent="0.25">
      <c r="A33" s="80"/>
      <c r="B33" s="50"/>
      <c r="C33" s="49"/>
      <c r="D33" s="51"/>
      <c r="E33" s="80"/>
      <c r="F33" s="80"/>
      <c r="G33" s="80"/>
      <c r="H33" s="80"/>
      <c r="I33" s="80"/>
      <c r="J33" s="80"/>
      <c r="K33" s="80"/>
      <c r="L33" s="80"/>
      <c r="M33" s="81"/>
      <c r="N33" s="84" t="s">
        <v>53</v>
      </c>
      <c r="O33" s="85"/>
      <c r="P33" s="85">
        <f>O31-P32</f>
        <v>3002622</v>
      </c>
    </row>
    <row r="34" spans="1:16" ht="18" customHeight="1" x14ac:dyDescent="0.2">
      <c r="A34" s="11"/>
      <c r="H34" s="57"/>
      <c r="N34" s="56" t="s">
        <v>31</v>
      </c>
      <c r="P34" s="63">
        <f>P33*1%</f>
        <v>30026.22</v>
      </c>
    </row>
    <row r="35" spans="1:16" ht="18" customHeight="1" thickBot="1" x14ac:dyDescent="0.25">
      <c r="A35" s="11"/>
      <c r="H35" s="57"/>
      <c r="N35" s="56" t="s">
        <v>54</v>
      </c>
      <c r="P35" s="65">
        <f>P33*2%</f>
        <v>60052.44</v>
      </c>
    </row>
    <row r="36" spans="1:16" ht="18" customHeight="1" x14ac:dyDescent="0.2">
      <c r="A36" s="11"/>
      <c r="H36" s="57"/>
      <c r="N36" s="60" t="s">
        <v>32</v>
      </c>
      <c r="O36" s="61"/>
      <c r="P36" s="64">
        <f>P33+P34-P35</f>
        <v>2972595.7800000003</v>
      </c>
    </row>
    <row r="38" spans="1:16" x14ac:dyDescent="0.2">
      <c r="A38" s="11"/>
      <c r="H38" s="57"/>
      <c r="P38" s="65"/>
    </row>
    <row r="39" spans="1:16" x14ac:dyDescent="0.2">
      <c r="A39" s="11"/>
      <c r="H39" s="57"/>
      <c r="O39" s="52"/>
      <c r="P39" s="65"/>
    </row>
    <row r="40" spans="1:16" s="3" customFormat="1" x14ac:dyDescent="0.25">
      <c r="A40" s="11"/>
      <c r="B40" s="2"/>
      <c r="C40" s="2"/>
      <c r="E40" s="12"/>
      <c r="H40" s="57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57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57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57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57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57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57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57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57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57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57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57"/>
      <c r="N51" s="15"/>
      <c r="O51" s="15"/>
      <c r="P51" s="15"/>
    </row>
  </sheetData>
  <mergeCells count="2">
    <mergeCell ref="A31:L31"/>
    <mergeCell ref="O31:P31"/>
  </mergeCells>
  <conditionalFormatting sqref="C3:C30">
    <cfRule type="duplicateValues" dxfId="15" priority="1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10" sqref="O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116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77">
        <v>402320</v>
      </c>
      <c r="B3" s="68" t="s">
        <v>97</v>
      </c>
      <c r="C3" s="9" t="s">
        <v>98</v>
      </c>
      <c r="D3" s="70" t="s">
        <v>59</v>
      </c>
      <c r="E3" s="13">
        <v>44502</v>
      </c>
      <c r="F3" s="70" t="s">
        <v>60</v>
      </c>
      <c r="G3" s="13">
        <v>44503</v>
      </c>
      <c r="H3" s="10" t="s">
        <v>61</v>
      </c>
      <c r="I3" s="1">
        <v>70</v>
      </c>
      <c r="J3" s="1">
        <v>82</v>
      </c>
      <c r="K3" s="1">
        <v>22</v>
      </c>
      <c r="L3" s="1">
        <v>19</v>
      </c>
      <c r="M3" s="74">
        <v>31.57</v>
      </c>
      <c r="N3" s="90">
        <v>31.57</v>
      </c>
      <c r="O3" s="58">
        <v>7000</v>
      </c>
      <c r="P3" s="59">
        <f>Table224578910112345[[#This Row],[PEMBULATAN]]*O3</f>
        <v>220990</v>
      </c>
    </row>
    <row r="4" spans="1:16" ht="26.25" customHeight="1" x14ac:dyDescent="0.2">
      <c r="A4" s="14"/>
      <c r="B4" s="69"/>
      <c r="C4" s="9" t="s">
        <v>99</v>
      </c>
      <c r="D4" s="70" t="s">
        <v>59</v>
      </c>
      <c r="E4" s="13">
        <v>44502</v>
      </c>
      <c r="F4" s="70" t="s">
        <v>60</v>
      </c>
      <c r="G4" s="13">
        <v>44503</v>
      </c>
      <c r="H4" s="10" t="s">
        <v>61</v>
      </c>
      <c r="I4" s="1">
        <v>80</v>
      </c>
      <c r="J4" s="1">
        <v>70</v>
      </c>
      <c r="K4" s="1">
        <v>25</v>
      </c>
      <c r="L4" s="1">
        <v>19</v>
      </c>
      <c r="M4" s="74">
        <v>35</v>
      </c>
      <c r="N4" s="90">
        <v>35</v>
      </c>
      <c r="O4" s="58">
        <v>7000</v>
      </c>
      <c r="P4" s="59">
        <f>Table224578910112345[[#This Row],[PEMBULATAN]]*O4</f>
        <v>245000</v>
      </c>
    </row>
    <row r="5" spans="1:16" ht="26.25" customHeight="1" x14ac:dyDescent="0.2">
      <c r="A5" s="14"/>
      <c r="B5" s="14"/>
      <c r="C5" s="9" t="s">
        <v>100</v>
      </c>
      <c r="D5" s="70" t="s">
        <v>59</v>
      </c>
      <c r="E5" s="13">
        <v>44502</v>
      </c>
      <c r="F5" s="70" t="s">
        <v>60</v>
      </c>
      <c r="G5" s="13">
        <v>44503</v>
      </c>
      <c r="H5" s="10" t="s">
        <v>61</v>
      </c>
      <c r="I5" s="1">
        <v>67</v>
      </c>
      <c r="J5" s="1">
        <v>60</v>
      </c>
      <c r="K5" s="1">
        <v>23</v>
      </c>
      <c r="L5" s="1">
        <v>13</v>
      </c>
      <c r="M5" s="74">
        <v>23.114999999999998</v>
      </c>
      <c r="N5" s="90">
        <v>23.114999999999998</v>
      </c>
      <c r="O5" s="58">
        <v>7000</v>
      </c>
      <c r="P5" s="59">
        <f>Table224578910112345[[#This Row],[PEMBULATAN]]*O5</f>
        <v>161805</v>
      </c>
    </row>
    <row r="6" spans="1:16" ht="26.25" customHeight="1" x14ac:dyDescent="0.2">
      <c r="A6" s="14"/>
      <c r="B6" s="14"/>
      <c r="C6" s="67" t="s">
        <v>101</v>
      </c>
      <c r="D6" s="72" t="s">
        <v>59</v>
      </c>
      <c r="E6" s="13">
        <v>44502</v>
      </c>
      <c r="F6" s="70" t="s">
        <v>60</v>
      </c>
      <c r="G6" s="13">
        <v>44503</v>
      </c>
      <c r="H6" s="71" t="s">
        <v>61</v>
      </c>
      <c r="I6" s="16">
        <v>36</v>
      </c>
      <c r="J6" s="16">
        <v>24</v>
      </c>
      <c r="K6" s="16">
        <v>22</v>
      </c>
      <c r="L6" s="16">
        <v>6</v>
      </c>
      <c r="M6" s="75">
        <v>4.7519999999999998</v>
      </c>
      <c r="N6" s="90">
        <v>6</v>
      </c>
      <c r="O6" s="58">
        <v>7000</v>
      </c>
      <c r="P6" s="59">
        <f>Table224578910112345[[#This Row],[PEMBULATAN]]*O6</f>
        <v>42000</v>
      </c>
    </row>
    <row r="7" spans="1:16" ht="26.25" customHeight="1" x14ac:dyDescent="0.2">
      <c r="A7" s="14"/>
      <c r="B7" s="14"/>
      <c r="C7" s="67" t="s">
        <v>102</v>
      </c>
      <c r="D7" s="72" t="s">
        <v>59</v>
      </c>
      <c r="E7" s="13">
        <v>44502</v>
      </c>
      <c r="F7" s="70" t="s">
        <v>60</v>
      </c>
      <c r="G7" s="13">
        <v>44503</v>
      </c>
      <c r="H7" s="71" t="s">
        <v>61</v>
      </c>
      <c r="I7" s="16">
        <v>35</v>
      </c>
      <c r="J7" s="16">
        <v>22</v>
      </c>
      <c r="K7" s="16">
        <v>21</v>
      </c>
      <c r="L7" s="16">
        <v>6</v>
      </c>
      <c r="M7" s="75">
        <v>4.0425000000000004</v>
      </c>
      <c r="N7" s="90">
        <v>6</v>
      </c>
      <c r="O7" s="58">
        <v>7000</v>
      </c>
      <c r="P7" s="59">
        <f>Table224578910112345[[#This Row],[PEMBULATAN]]*O7</f>
        <v>42000</v>
      </c>
    </row>
    <row r="8" spans="1:16" ht="26.25" customHeight="1" x14ac:dyDescent="0.2">
      <c r="A8" s="14"/>
      <c r="B8" s="14"/>
      <c r="C8" s="67" t="s">
        <v>103</v>
      </c>
      <c r="D8" s="72" t="s">
        <v>59</v>
      </c>
      <c r="E8" s="13">
        <v>44502</v>
      </c>
      <c r="F8" s="70" t="s">
        <v>60</v>
      </c>
      <c r="G8" s="13">
        <v>44503</v>
      </c>
      <c r="H8" s="71" t="s">
        <v>61</v>
      </c>
      <c r="I8" s="16">
        <v>35</v>
      </c>
      <c r="J8" s="16">
        <v>27</v>
      </c>
      <c r="K8" s="16">
        <v>16</v>
      </c>
      <c r="L8" s="16">
        <v>10</v>
      </c>
      <c r="M8" s="75">
        <v>3.78</v>
      </c>
      <c r="N8" s="90">
        <v>10</v>
      </c>
      <c r="O8" s="58">
        <v>7000</v>
      </c>
      <c r="P8" s="59">
        <f>Table224578910112345[[#This Row],[PEMBULATAN]]*O8</f>
        <v>70000</v>
      </c>
    </row>
    <row r="9" spans="1:16" ht="22.5" customHeight="1" x14ac:dyDescent="0.2">
      <c r="A9" s="145" t="s">
        <v>30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7"/>
      <c r="M9" s="73">
        <f>SUBTOTAL(109,Table224578910112345[KG VOLUME])</f>
        <v>102.25949999999999</v>
      </c>
      <c r="N9" s="62">
        <f>SUM(N3:N8)</f>
        <v>111.68499999999999</v>
      </c>
      <c r="O9" s="148">
        <f>SUM(P3:P8)</f>
        <v>781795</v>
      </c>
      <c r="P9" s="149"/>
    </row>
    <row r="10" spans="1:16" ht="18" customHeight="1" x14ac:dyDescent="0.2">
      <c r="A10" s="80"/>
      <c r="B10" s="50" t="s">
        <v>42</v>
      </c>
      <c r="C10" s="49"/>
      <c r="D10" s="51" t="s">
        <v>43</v>
      </c>
      <c r="E10" s="80"/>
      <c r="F10" s="80"/>
      <c r="G10" s="80"/>
      <c r="H10" s="80"/>
      <c r="I10" s="80"/>
      <c r="J10" s="80"/>
      <c r="K10" s="80"/>
      <c r="L10" s="80"/>
      <c r="M10" s="81"/>
      <c r="N10" s="82" t="s">
        <v>52</v>
      </c>
      <c r="O10" s="83"/>
      <c r="P10" s="83">
        <v>0</v>
      </c>
    </row>
    <row r="11" spans="1:16" ht="18" customHeight="1" thickBot="1" x14ac:dyDescent="0.25">
      <c r="A11" s="80"/>
      <c r="B11" s="50"/>
      <c r="C11" s="49"/>
      <c r="D11" s="51"/>
      <c r="E11" s="80"/>
      <c r="F11" s="80"/>
      <c r="G11" s="80"/>
      <c r="H11" s="80"/>
      <c r="I11" s="80"/>
      <c r="J11" s="80"/>
      <c r="K11" s="80"/>
      <c r="L11" s="80"/>
      <c r="M11" s="81"/>
      <c r="N11" s="84" t="s">
        <v>53</v>
      </c>
      <c r="O11" s="85"/>
      <c r="P11" s="85">
        <f>O9-P10</f>
        <v>781795</v>
      </c>
    </row>
    <row r="12" spans="1:16" ht="18" customHeight="1" x14ac:dyDescent="0.2">
      <c r="A12" s="11"/>
      <c r="H12" s="57"/>
      <c r="N12" s="56" t="s">
        <v>31</v>
      </c>
      <c r="P12" s="63">
        <f>P11*1%</f>
        <v>7817.95</v>
      </c>
    </row>
    <row r="13" spans="1:16" ht="18" customHeight="1" thickBot="1" x14ac:dyDescent="0.25">
      <c r="A13" s="11"/>
      <c r="H13" s="57"/>
      <c r="N13" s="56" t="s">
        <v>54</v>
      </c>
      <c r="P13" s="65">
        <f>P11*2%</f>
        <v>15635.9</v>
      </c>
    </row>
    <row r="14" spans="1:16" ht="18" customHeight="1" x14ac:dyDescent="0.2">
      <c r="A14" s="11"/>
      <c r="H14" s="57"/>
      <c r="N14" s="60" t="s">
        <v>32</v>
      </c>
      <c r="O14" s="61"/>
      <c r="P14" s="64">
        <f>P11+P12-P13</f>
        <v>773977.04999999993</v>
      </c>
    </row>
    <row r="16" spans="1:16" x14ac:dyDescent="0.2">
      <c r="A16" s="11"/>
      <c r="H16" s="57"/>
      <c r="P16" s="65"/>
    </row>
    <row r="17" spans="1:16" x14ac:dyDescent="0.2">
      <c r="A17" s="11"/>
      <c r="H17" s="57"/>
      <c r="O17" s="52"/>
      <c r="P17" s="65"/>
    </row>
    <row r="18" spans="1:16" s="3" customFormat="1" x14ac:dyDescent="0.25">
      <c r="A18" s="11"/>
      <c r="B18" s="2"/>
      <c r="C18" s="2"/>
      <c r="E18" s="12"/>
      <c r="H18" s="57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57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7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7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7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7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7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7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57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57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57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57"/>
      <c r="N29" s="15"/>
      <c r="O29" s="15"/>
      <c r="P29" s="15"/>
    </row>
  </sheetData>
  <mergeCells count="2">
    <mergeCell ref="A9:L9"/>
    <mergeCell ref="O9:P9"/>
  </mergeCells>
  <conditionalFormatting sqref="B3">
    <cfRule type="duplicateValues" dxfId="648" priority="2"/>
  </conditionalFormatting>
  <conditionalFormatting sqref="B4">
    <cfRule type="duplicateValues" dxfId="647" priority="1"/>
  </conditionalFormatting>
  <conditionalFormatting sqref="B5:B8">
    <cfRule type="duplicateValues" dxfId="646" priority="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5" sqref="O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4.140625" style="3" customWidth="1"/>
    <col min="5" max="5" width="8.7109375" style="12" customWidth="1"/>
    <col min="6" max="6" width="16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2.7109375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92">
        <v>403936</v>
      </c>
      <c r="B3" s="92" t="s">
        <v>104</v>
      </c>
      <c r="C3" s="92" t="s">
        <v>105</v>
      </c>
      <c r="D3" s="92" t="s">
        <v>59</v>
      </c>
      <c r="E3" s="93">
        <v>44503</v>
      </c>
      <c r="F3" s="92" t="s">
        <v>60</v>
      </c>
      <c r="G3" s="93">
        <v>44503</v>
      </c>
      <c r="H3" s="92" t="s">
        <v>61</v>
      </c>
      <c r="I3" s="92">
        <v>34</v>
      </c>
      <c r="J3" s="92">
        <v>31</v>
      </c>
      <c r="K3" s="92">
        <v>26</v>
      </c>
      <c r="L3" s="92">
        <v>7</v>
      </c>
      <c r="M3" s="94">
        <v>6.851</v>
      </c>
      <c r="N3" s="91">
        <v>7</v>
      </c>
      <c r="O3" s="58">
        <v>7000</v>
      </c>
      <c r="P3" s="59">
        <f>Table2245789101123456[[#This Row],[PEMBULATAN]]*O3</f>
        <v>49000</v>
      </c>
    </row>
    <row r="4" spans="1:16" ht="22.5" customHeight="1" x14ac:dyDescent="0.2">
      <c r="A4" s="145" t="s">
        <v>30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7"/>
      <c r="M4" s="73">
        <f>SUBTOTAL(109,Table2245789101123456[KG VOLUME])</f>
        <v>6.851</v>
      </c>
      <c r="N4" s="62">
        <f>SUM(N3:N3)</f>
        <v>7</v>
      </c>
      <c r="O4" s="148">
        <f>SUM(P3:P3)</f>
        <v>49000</v>
      </c>
      <c r="P4" s="149"/>
    </row>
    <row r="5" spans="1:16" ht="18" customHeight="1" x14ac:dyDescent="0.2">
      <c r="A5" s="80"/>
      <c r="B5" s="50" t="s">
        <v>42</v>
      </c>
      <c r="C5" s="49"/>
      <c r="D5" s="51" t="s">
        <v>43</v>
      </c>
      <c r="E5" s="80"/>
      <c r="F5" s="80"/>
      <c r="G5" s="80"/>
      <c r="H5" s="80"/>
      <c r="I5" s="80"/>
      <c r="J5" s="80"/>
      <c r="K5" s="80"/>
      <c r="L5" s="80"/>
      <c r="M5" s="81"/>
      <c r="N5" s="82" t="s">
        <v>52</v>
      </c>
      <c r="O5" s="83"/>
      <c r="P5" s="83">
        <v>0</v>
      </c>
    </row>
    <row r="6" spans="1:16" ht="18" customHeight="1" thickBot="1" x14ac:dyDescent="0.25">
      <c r="A6" s="80"/>
      <c r="B6" s="50"/>
      <c r="C6" s="49"/>
      <c r="D6" s="51"/>
      <c r="E6" s="80"/>
      <c r="F6" s="80"/>
      <c r="G6" s="80"/>
      <c r="H6" s="80"/>
      <c r="I6" s="80"/>
      <c r="J6" s="80"/>
      <c r="K6" s="80"/>
      <c r="L6" s="80"/>
      <c r="M6" s="81"/>
      <c r="N6" s="84" t="s">
        <v>53</v>
      </c>
      <c r="O6" s="85"/>
      <c r="P6" s="85">
        <f>O4-P5</f>
        <v>49000</v>
      </c>
    </row>
    <row r="7" spans="1:16" ht="18" customHeight="1" x14ac:dyDescent="0.2">
      <c r="A7" s="11"/>
      <c r="H7" s="57"/>
      <c r="N7" s="56" t="s">
        <v>31</v>
      </c>
      <c r="P7" s="63">
        <f>P6*1%</f>
        <v>490</v>
      </c>
    </row>
    <row r="8" spans="1:16" ht="18" customHeight="1" thickBot="1" x14ac:dyDescent="0.25">
      <c r="A8" s="11"/>
      <c r="H8" s="57"/>
      <c r="N8" s="56" t="s">
        <v>54</v>
      </c>
      <c r="P8" s="65">
        <f>P6*2%</f>
        <v>980</v>
      </c>
    </row>
    <row r="9" spans="1:16" ht="18" customHeight="1" x14ac:dyDescent="0.2">
      <c r="A9" s="11"/>
      <c r="H9" s="57"/>
      <c r="N9" s="60" t="s">
        <v>32</v>
      </c>
      <c r="O9" s="61"/>
      <c r="P9" s="64">
        <f>P6+P7-P8</f>
        <v>48510</v>
      </c>
    </row>
    <row r="11" spans="1:16" x14ac:dyDescent="0.2">
      <c r="A11" s="11"/>
      <c r="H11" s="57"/>
      <c r="P11" s="65"/>
    </row>
    <row r="12" spans="1:16" x14ac:dyDescent="0.2">
      <c r="A12" s="11"/>
      <c r="H12" s="57"/>
      <c r="O12" s="52"/>
      <c r="P12" s="65"/>
    </row>
    <row r="13" spans="1:16" s="3" customFormat="1" x14ac:dyDescent="0.25">
      <c r="A13" s="11"/>
      <c r="B13" s="2"/>
      <c r="C13" s="2"/>
      <c r="E13" s="12"/>
      <c r="H13" s="57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57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57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57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57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57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57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7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7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7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7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7"/>
      <c r="N24" s="15"/>
      <c r="O24" s="15"/>
      <c r="P24" s="15"/>
    </row>
  </sheetData>
  <mergeCells count="2">
    <mergeCell ref="A4:L4"/>
    <mergeCell ref="O4:P4"/>
  </mergeCells>
  <conditionalFormatting sqref="C3">
    <cfRule type="duplicateValues" dxfId="630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6"/>
  <sheetViews>
    <sheetView zoomScale="110" zoomScaleNormal="110" workbookViewId="0">
      <pane xSplit="3" ySplit="2" topLeftCell="D45" activePane="bottomRight" state="frozen"/>
      <selection pane="topRight" activeCell="B1" sqref="B1"/>
      <selection pane="bottomLeft" activeCell="A3" sqref="A3"/>
      <selection pane="bottomRight" activeCell="O47" sqref="O47"/>
    </sheetView>
  </sheetViews>
  <sheetFormatPr defaultRowHeight="15" x14ac:dyDescent="0.2"/>
  <cols>
    <col min="1" max="1" width="8" style="4" customWidth="1"/>
    <col min="2" max="2" width="20.710937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116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15">
        <v>402325</v>
      </c>
      <c r="B3" s="68" t="s">
        <v>106</v>
      </c>
      <c r="C3" s="9" t="s">
        <v>107</v>
      </c>
      <c r="D3" s="70" t="s">
        <v>59</v>
      </c>
      <c r="E3" s="13">
        <v>44503</v>
      </c>
      <c r="F3" s="70" t="s">
        <v>60</v>
      </c>
      <c r="G3" s="13">
        <v>44503</v>
      </c>
      <c r="H3" s="10" t="s">
        <v>61</v>
      </c>
      <c r="I3" s="1">
        <v>60</v>
      </c>
      <c r="J3" s="1">
        <v>40</v>
      </c>
      <c r="K3" s="1">
        <v>40</v>
      </c>
      <c r="L3" s="1">
        <v>24</v>
      </c>
      <c r="M3" s="74">
        <v>24</v>
      </c>
      <c r="N3" s="8">
        <v>24</v>
      </c>
      <c r="O3" s="58">
        <v>7000</v>
      </c>
      <c r="P3" s="59">
        <f>Table22457891011234567[[#This Row],[PEMBULATAN]]*O3</f>
        <v>168000</v>
      </c>
    </row>
    <row r="4" spans="1:16" ht="26.25" customHeight="1" x14ac:dyDescent="0.2">
      <c r="A4" s="14"/>
      <c r="B4" s="69"/>
      <c r="C4" s="9" t="s">
        <v>108</v>
      </c>
      <c r="D4" s="70" t="s">
        <v>59</v>
      </c>
      <c r="E4" s="13">
        <v>44503</v>
      </c>
      <c r="F4" s="70" t="s">
        <v>60</v>
      </c>
      <c r="G4" s="13">
        <v>44503</v>
      </c>
      <c r="H4" s="10" t="s">
        <v>61</v>
      </c>
      <c r="I4" s="1">
        <v>80</v>
      </c>
      <c r="J4" s="1">
        <v>45</v>
      </c>
      <c r="K4" s="1">
        <v>60</v>
      </c>
      <c r="L4" s="1">
        <v>58</v>
      </c>
      <c r="M4" s="74">
        <v>54</v>
      </c>
      <c r="N4" s="8">
        <v>58</v>
      </c>
      <c r="O4" s="58">
        <v>7000</v>
      </c>
      <c r="P4" s="59">
        <f>Table22457891011234567[[#This Row],[PEMBULATAN]]*O4</f>
        <v>406000</v>
      </c>
    </row>
    <row r="5" spans="1:16" ht="26.25" customHeight="1" x14ac:dyDescent="0.2">
      <c r="A5" s="14"/>
      <c r="B5" s="14"/>
      <c r="C5" s="9" t="s">
        <v>109</v>
      </c>
      <c r="D5" s="70" t="s">
        <v>59</v>
      </c>
      <c r="E5" s="13">
        <v>44503</v>
      </c>
      <c r="F5" s="70" t="s">
        <v>60</v>
      </c>
      <c r="G5" s="13">
        <v>44503</v>
      </c>
      <c r="H5" s="10" t="s">
        <v>61</v>
      </c>
      <c r="I5" s="1">
        <v>50</v>
      </c>
      <c r="J5" s="1">
        <v>40</v>
      </c>
      <c r="K5" s="1">
        <v>45</v>
      </c>
      <c r="L5" s="1">
        <v>22</v>
      </c>
      <c r="M5" s="74">
        <v>22.5</v>
      </c>
      <c r="N5" s="90">
        <v>22.5</v>
      </c>
      <c r="O5" s="58">
        <v>7000</v>
      </c>
      <c r="P5" s="59">
        <f>Table22457891011234567[[#This Row],[PEMBULATAN]]*O5</f>
        <v>157500</v>
      </c>
    </row>
    <row r="6" spans="1:16" ht="26.25" customHeight="1" x14ac:dyDescent="0.2">
      <c r="A6" s="14"/>
      <c r="B6" s="14"/>
      <c r="C6" s="67" t="s">
        <v>110</v>
      </c>
      <c r="D6" s="72" t="s">
        <v>59</v>
      </c>
      <c r="E6" s="13">
        <v>44503</v>
      </c>
      <c r="F6" s="70" t="s">
        <v>60</v>
      </c>
      <c r="G6" s="13">
        <v>44503</v>
      </c>
      <c r="H6" s="71" t="s">
        <v>61</v>
      </c>
      <c r="I6" s="16">
        <v>68</v>
      </c>
      <c r="J6" s="16">
        <v>64</v>
      </c>
      <c r="K6" s="16">
        <v>42</v>
      </c>
      <c r="L6" s="16">
        <v>22</v>
      </c>
      <c r="M6" s="75">
        <v>45.695999999999998</v>
      </c>
      <c r="N6" s="90">
        <v>45.695999999999998</v>
      </c>
      <c r="O6" s="58">
        <v>7000</v>
      </c>
      <c r="P6" s="59">
        <f>Table22457891011234567[[#This Row],[PEMBULATAN]]*O6</f>
        <v>319872</v>
      </c>
    </row>
    <row r="7" spans="1:16" ht="26.25" customHeight="1" x14ac:dyDescent="0.2">
      <c r="A7" s="14"/>
      <c r="B7" s="14"/>
      <c r="C7" s="67" t="s">
        <v>111</v>
      </c>
      <c r="D7" s="72" t="s">
        <v>59</v>
      </c>
      <c r="E7" s="13">
        <v>44503</v>
      </c>
      <c r="F7" s="70" t="s">
        <v>60</v>
      </c>
      <c r="G7" s="13">
        <v>44503</v>
      </c>
      <c r="H7" s="71" t="s">
        <v>61</v>
      </c>
      <c r="I7" s="16">
        <v>68</v>
      </c>
      <c r="J7" s="16">
        <v>64</v>
      </c>
      <c r="K7" s="16">
        <v>42</v>
      </c>
      <c r="L7" s="16">
        <v>20</v>
      </c>
      <c r="M7" s="75">
        <v>45.695999999999998</v>
      </c>
      <c r="N7" s="90">
        <v>45.695999999999998</v>
      </c>
      <c r="O7" s="58">
        <v>7000</v>
      </c>
      <c r="P7" s="59">
        <f>Table22457891011234567[[#This Row],[PEMBULATAN]]*O7</f>
        <v>319872</v>
      </c>
    </row>
    <row r="8" spans="1:16" ht="26.25" customHeight="1" x14ac:dyDescent="0.2">
      <c r="A8" s="14"/>
      <c r="B8" s="14"/>
      <c r="C8" s="67" t="s">
        <v>112</v>
      </c>
      <c r="D8" s="72" t="s">
        <v>59</v>
      </c>
      <c r="E8" s="13">
        <v>44503</v>
      </c>
      <c r="F8" s="70" t="s">
        <v>60</v>
      </c>
      <c r="G8" s="13">
        <v>44503</v>
      </c>
      <c r="H8" s="71" t="s">
        <v>61</v>
      </c>
      <c r="I8" s="16">
        <v>50</v>
      </c>
      <c r="J8" s="16">
        <v>37</v>
      </c>
      <c r="K8" s="16">
        <v>29</v>
      </c>
      <c r="L8" s="16">
        <v>34</v>
      </c>
      <c r="M8" s="75">
        <v>13.4125</v>
      </c>
      <c r="N8" s="66">
        <v>34</v>
      </c>
      <c r="O8" s="58">
        <v>7000</v>
      </c>
      <c r="P8" s="59">
        <f>Table22457891011234567[[#This Row],[PEMBULATAN]]*O8</f>
        <v>238000</v>
      </c>
    </row>
    <row r="9" spans="1:16" ht="26.25" customHeight="1" x14ac:dyDescent="0.2">
      <c r="A9" s="14"/>
      <c r="B9" s="14"/>
      <c r="C9" s="67" t="s">
        <v>113</v>
      </c>
      <c r="D9" s="72" t="s">
        <v>59</v>
      </c>
      <c r="E9" s="13">
        <v>44503</v>
      </c>
      <c r="F9" s="70" t="s">
        <v>60</v>
      </c>
      <c r="G9" s="13">
        <v>44503</v>
      </c>
      <c r="H9" s="71" t="s">
        <v>61</v>
      </c>
      <c r="I9" s="16">
        <v>50</v>
      </c>
      <c r="J9" s="16">
        <v>40</v>
      </c>
      <c r="K9" s="16">
        <v>20</v>
      </c>
      <c r="L9" s="16">
        <v>12</v>
      </c>
      <c r="M9" s="75">
        <v>10</v>
      </c>
      <c r="N9" s="66">
        <v>12</v>
      </c>
      <c r="O9" s="58">
        <v>7000</v>
      </c>
      <c r="P9" s="59">
        <f>Table22457891011234567[[#This Row],[PEMBULATAN]]*O9</f>
        <v>84000</v>
      </c>
    </row>
    <row r="10" spans="1:16" ht="26.25" customHeight="1" x14ac:dyDescent="0.2">
      <c r="A10" s="14"/>
      <c r="B10" s="14"/>
      <c r="C10" s="67" t="s">
        <v>114</v>
      </c>
      <c r="D10" s="72" t="s">
        <v>59</v>
      </c>
      <c r="E10" s="13">
        <v>44503</v>
      </c>
      <c r="F10" s="70" t="s">
        <v>60</v>
      </c>
      <c r="G10" s="13">
        <v>44503</v>
      </c>
      <c r="H10" s="71" t="s">
        <v>61</v>
      </c>
      <c r="I10" s="16">
        <v>50</v>
      </c>
      <c r="J10" s="16">
        <v>40</v>
      </c>
      <c r="K10" s="16">
        <v>25</v>
      </c>
      <c r="L10" s="16">
        <v>5</v>
      </c>
      <c r="M10" s="75">
        <v>12.5</v>
      </c>
      <c r="N10" s="90">
        <v>12.5</v>
      </c>
      <c r="O10" s="58">
        <v>7000</v>
      </c>
      <c r="P10" s="59">
        <f>Table22457891011234567[[#This Row],[PEMBULATAN]]*O10</f>
        <v>87500</v>
      </c>
    </row>
    <row r="11" spans="1:16" ht="26.25" customHeight="1" x14ac:dyDescent="0.2">
      <c r="A11" s="14"/>
      <c r="B11" s="14"/>
      <c r="C11" s="67" t="s">
        <v>115</v>
      </c>
      <c r="D11" s="72" t="s">
        <v>59</v>
      </c>
      <c r="E11" s="13">
        <v>44503</v>
      </c>
      <c r="F11" s="70" t="s">
        <v>60</v>
      </c>
      <c r="G11" s="13">
        <v>44503</v>
      </c>
      <c r="H11" s="71" t="s">
        <v>61</v>
      </c>
      <c r="I11" s="16">
        <v>50</v>
      </c>
      <c r="J11" s="16">
        <v>30</v>
      </c>
      <c r="K11" s="16">
        <v>20</v>
      </c>
      <c r="L11" s="16">
        <v>4</v>
      </c>
      <c r="M11" s="75">
        <v>7.5</v>
      </c>
      <c r="N11" s="90">
        <v>7.5</v>
      </c>
      <c r="O11" s="58">
        <v>7000</v>
      </c>
      <c r="P11" s="59">
        <f>Table22457891011234567[[#This Row],[PEMBULATAN]]*O11</f>
        <v>52500</v>
      </c>
    </row>
    <row r="12" spans="1:16" ht="26.25" customHeight="1" x14ac:dyDescent="0.2">
      <c r="A12" s="14"/>
      <c r="B12" s="14"/>
      <c r="C12" s="67" t="s">
        <v>116</v>
      </c>
      <c r="D12" s="72" t="s">
        <v>59</v>
      </c>
      <c r="E12" s="13">
        <v>44503</v>
      </c>
      <c r="F12" s="70" t="s">
        <v>60</v>
      </c>
      <c r="G12" s="13">
        <v>44503</v>
      </c>
      <c r="H12" s="71" t="s">
        <v>61</v>
      </c>
      <c r="I12" s="16">
        <v>80</v>
      </c>
      <c r="J12" s="16">
        <v>40</v>
      </c>
      <c r="K12" s="16">
        <v>30</v>
      </c>
      <c r="L12" s="16">
        <v>10</v>
      </c>
      <c r="M12" s="75">
        <v>24</v>
      </c>
      <c r="N12" s="66">
        <v>24</v>
      </c>
      <c r="O12" s="58">
        <v>7000</v>
      </c>
      <c r="P12" s="59">
        <f>Table22457891011234567[[#This Row],[PEMBULATAN]]*O12</f>
        <v>168000</v>
      </c>
    </row>
    <row r="13" spans="1:16" ht="26.25" customHeight="1" x14ac:dyDescent="0.2">
      <c r="A13" s="14"/>
      <c r="B13" s="14"/>
      <c r="C13" s="67" t="s">
        <v>117</v>
      </c>
      <c r="D13" s="72" t="s">
        <v>59</v>
      </c>
      <c r="E13" s="13">
        <v>44503</v>
      </c>
      <c r="F13" s="70" t="s">
        <v>60</v>
      </c>
      <c r="G13" s="13">
        <v>44503</v>
      </c>
      <c r="H13" s="71" t="s">
        <v>61</v>
      </c>
      <c r="I13" s="16">
        <v>80</v>
      </c>
      <c r="J13" s="16">
        <v>60</v>
      </c>
      <c r="K13" s="16">
        <v>50</v>
      </c>
      <c r="L13" s="16">
        <v>26</v>
      </c>
      <c r="M13" s="75">
        <v>60</v>
      </c>
      <c r="N13" s="66">
        <v>60</v>
      </c>
      <c r="O13" s="58">
        <v>7000</v>
      </c>
      <c r="P13" s="59">
        <f>Table22457891011234567[[#This Row],[PEMBULATAN]]*O13</f>
        <v>420000</v>
      </c>
    </row>
    <row r="14" spans="1:16" ht="26.25" customHeight="1" x14ac:dyDescent="0.2">
      <c r="A14" s="14"/>
      <c r="B14" s="14"/>
      <c r="C14" s="67" t="s">
        <v>118</v>
      </c>
      <c r="D14" s="72" t="s">
        <v>59</v>
      </c>
      <c r="E14" s="13">
        <v>44503</v>
      </c>
      <c r="F14" s="70" t="s">
        <v>60</v>
      </c>
      <c r="G14" s="13">
        <v>44503</v>
      </c>
      <c r="H14" s="71" t="s">
        <v>61</v>
      </c>
      <c r="I14" s="16">
        <v>60</v>
      </c>
      <c r="J14" s="16">
        <v>45</v>
      </c>
      <c r="K14" s="16">
        <v>40</v>
      </c>
      <c r="L14" s="16">
        <v>21</v>
      </c>
      <c r="M14" s="75">
        <v>27</v>
      </c>
      <c r="N14" s="66">
        <v>27</v>
      </c>
      <c r="O14" s="58">
        <v>7000</v>
      </c>
      <c r="P14" s="59">
        <f>Table22457891011234567[[#This Row],[PEMBULATAN]]*O14</f>
        <v>189000</v>
      </c>
    </row>
    <row r="15" spans="1:16" ht="26.25" customHeight="1" x14ac:dyDescent="0.2">
      <c r="A15" s="14"/>
      <c r="B15" s="14"/>
      <c r="C15" s="67" t="s">
        <v>119</v>
      </c>
      <c r="D15" s="72" t="s">
        <v>59</v>
      </c>
      <c r="E15" s="13">
        <v>44503</v>
      </c>
      <c r="F15" s="70" t="s">
        <v>60</v>
      </c>
      <c r="G15" s="13">
        <v>44503</v>
      </c>
      <c r="H15" s="71" t="s">
        <v>61</v>
      </c>
      <c r="I15" s="16">
        <v>80</v>
      </c>
      <c r="J15" s="16">
        <v>40</v>
      </c>
      <c r="K15" s="16">
        <v>25</v>
      </c>
      <c r="L15" s="16">
        <v>10</v>
      </c>
      <c r="M15" s="75">
        <v>20</v>
      </c>
      <c r="N15" s="66">
        <v>20</v>
      </c>
      <c r="O15" s="58">
        <v>7000</v>
      </c>
      <c r="P15" s="59">
        <f>Table22457891011234567[[#This Row],[PEMBULATAN]]*O15</f>
        <v>140000</v>
      </c>
    </row>
    <row r="16" spans="1:16" ht="26.25" customHeight="1" x14ac:dyDescent="0.2">
      <c r="A16" s="14"/>
      <c r="B16" s="14"/>
      <c r="C16" s="67" t="s">
        <v>120</v>
      </c>
      <c r="D16" s="72" t="s">
        <v>59</v>
      </c>
      <c r="E16" s="13">
        <v>44503</v>
      </c>
      <c r="F16" s="70" t="s">
        <v>60</v>
      </c>
      <c r="G16" s="13">
        <v>44503</v>
      </c>
      <c r="H16" s="71" t="s">
        <v>61</v>
      </c>
      <c r="I16" s="16">
        <v>70</v>
      </c>
      <c r="J16" s="16">
        <v>14</v>
      </c>
      <c r="K16" s="16">
        <v>10</v>
      </c>
      <c r="L16" s="16">
        <v>7</v>
      </c>
      <c r="M16" s="75">
        <v>2.4500000000000002</v>
      </c>
      <c r="N16" s="66">
        <v>7</v>
      </c>
      <c r="O16" s="58">
        <v>7000</v>
      </c>
      <c r="P16" s="59">
        <f>Table22457891011234567[[#This Row],[PEMBULATAN]]*O16</f>
        <v>49000</v>
      </c>
    </row>
    <row r="17" spans="1:16" ht="26.25" customHeight="1" x14ac:dyDescent="0.2">
      <c r="A17" s="14"/>
      <c r="B17" s="14"/>
      <c r="C17" s="67" t="s">
        <v>121</v>
      </c>
      <c r="D17" s="72" t="s">
        <v>59</v>
      </c>
      <c r="E17" s="13">
        <v>44503</v>
      </c>
      <c r="F17" s="70" t="s">
        <v>60</v>
      </c>
      <c r="G17" s="13">
        <v>44503</v>
      </c>
      <c r="H17" s="71" t="s">
        <v>61</v>
      </c>
      <c r="I17" s="16">
        <v>40</v>
      </c>
      <c r="J17" s="16">
        <v>30</v>
      </c>
      <c r="K17" s="16">
        <v>35</v>
      </c>
      <c r="L17" s="16">
        <v>17</v>
      </c>
      <c r="M17" s="75">
        <v>10.5</v>
      </c>
      <c r="N17" s="66">
        <v>17</v>
      </c>
      <c r="O17" s="58">
        <v>7000</v>
      </c>
      <c r="P17" s="59">
        <f>Table22457891011234567[[#This Row],[PEMBULATAN]]*O17</f>
        <v>119000</v>
      </c>
    </row>
    <row r="18" spans="1:16" ht="26.25" customHeight="1" x14ac:dyDescent="0.2">
      <c r="A18" s="14"/>
      <c r="B18" s="14"/>
      <c r="C18" s="67" t="s">
        <v>122</v>
      </c>
      <c r="D18" s="72" t="s">
        <v>59</v>
      </c>
      <c r="E18" s="13">
        <v>44503</v>
      </c>
      <c r="F18" s="70" t="s">
        <v>60</v>
      </c>
      <c r="G18" s="13">
        <v>44503</v>
      </c>
      <c r="H18" s="71" t="s">
        <v>61</v>
      </c>
      <c r="I18" s="16">
        <v>70</v>
      </c>
      <c r="J18" s="16">
        <v>45</v>
      </c>
      <c r="K18" s="16">
        <v>37</v>
      </c>
      <c r="L18" s="16">
        <v>33</v>
      </c>
      <c r="M18" s="75">
        <v>29.137499999999999</v>
      </c>
      <c r="N18" s="66">
        <v>33</v>
      </c>
      <c r="O18" s="58">
        <v>7000</v>
      </c>
      <c r="P18" s="59">
        <f>Table22457891011234567[[#This Row],[PEMBULATAN]]*O18</f>
        <v>231000</v>
      </c>
    </row>
    <row r="19" spans="1:16" ht="26.25" customHeight="1" x14ac:dyDescent="0.2">
      <c r="A19" s="14"/>
      <c r="B19" s="14"/>
      <c r="C19" s="67" t="s">
        <v>123</v>
      </c>
      <c r="D19" s="72" t="s">
        <v>59</v>
      </c>
      <c r="E19" s="13">
        <v>44503</v>
      </c>
      <c r="F19" s="70" t="s">
        <v>60</v>
      </c>
      <c r="G19" s="13">
        <v>44503</v>
      </c>
      <c r="H19" s="71" t="s">
        <v>61</v>
      </c>
      <c r="I19" s="16">
        <v>45</v>
      </c>
      <c r="J19" s="16">
        <v>30</v>
      </c>
      <c r="K19" s="16">
        <v>50</v>
      </c>
      <c r="L19" s="16">
        <v>6</v>
      </c>
      <c r="M19" s="75">
        <v>16.875</v>
      </c>
      <c r="N19" s="90">
        <v>16.875</v>
      </c>
      <c r="O19" s="58">
        <v>7000</v>
      </c>
      <c r="P19" s="59">
        <f>Table22457891011234567[[#This Row],[PEMBULATAN]]*O19</f>
        <v>118125</v>
      </c>
    </row>
    <row r="20" spans="1:16" ht="26.25" customHeight="1" x14ac:dyDescent="0.2">
      <c r="A20" s="14"/>
      <c r="B20" s="14"/>
      <c r="C20" s="67" t="s">
        <v>124</v>
      </c>
      <c r="D20" s="72" t="s">
        <v>59</v>
      </c>
      <c r="E20" s="13">
        <v>44503</v>
      </c>
      <c r="F20" s="70" t="s">
        <v>60</v>
      </c>
      <c r="G20" s="13">
        <v>44503</v>
      </c>
      <c r="H20" s="71" t="s">
        <v>61</v>
      </c>
      <c r="I20" s="16">
        <v>60</v>
      </c>
      <c r="J20" s="16">
        <v>40</v>
      </c>
      <c r="K20" s="16">
        <v>35</v>
      </c>
      <c r="L20" s="16">
        <v>9</v>
      </c>
      <c r="M20" s="75">
        <v>21</v>
      </c>
      <c r="N20" s="66">
        <v>21</v>
      </c>
      <c r="O20" s="58">
        <v>7000</v>
      </c>
      <c r="P20" s="59">
        <f>Table22457891011234567[[#This Row],[PEMBULATAN]]*O20</f>
        <v>147000</v>
      </c>
    </row>
    <row r="21" spans="1:16" ht="26.25" customHeight="1" x14ac:dyDescent="0.2">
      <c r="A21" s="14"/>
      <c r="B21" s="14"/>
      <c r="C21" s="67" t="s">
        <v>125</v>
      </c>
      <c r="D21" s="72" t="s">
        <v>59</v>
      </c>
      <c r="E21" s="13">
        <v>44503</v>
      </c>
      <c r="F21" s="70" t="s">
        <v>60</v>
      </c>
      <c r="G21" s="13">
        <v>44503</v>
      </c>
      <c r="H21" s="71" t="s">
        <v>61</v>
      </c>
      <c r="I21" s="16">
        <v>55</v>
      </c>
      <c r="J21" s="16">
        <v>20</v>
      </c>
      <c r="K21" s="16">
        <v>60</v>
      </c>
      <c r="L21" s="16">
        <v>25</v>
      </c>
      <c r="M21" s="75">
        <v>16.5</v>
      </c>
      <c r="N21" s="66">
        <v>25</v>
      </c>
      <c r="O21" s="58">
        <v>7000</v>
      </c>
      <c r="P21" s="59">
        <f>Table22457891011234567[[#This Row],[PEMBULATAN]]*O21</f>
        <v>175000</v>
      </c>
    </row>
    <row r="22" spans="1:16" ht="26.25" customHeight="1" x14ac:dyDescent="0.2">
      <c r="A22" s="14"/>
      <c r="B22" s="14"/>
      <c r="C22" s="67" t="s">
        <v>126</v>
      </c>
      <c r="D22" s="72" t="s">
        <v>59</v>
      </c>
      <c r="E22" s="13">
        <v>44503</v>
      </c>
      <c r="F22" s="70" t="s">
        <v>60</v>
      </c>
      <c r="G22" s="13">
        <v>44503</v>
      </c>
      <c r="H22" s="71" t="s">
        <v>61</v>
      </c>
      <c r="I22" s="16">
        <v>50</v>
      </c>
      <c r="J22" s="16">
        <v>40</v>
      </c>
      <c r="K22" s="16">
        <v>35</v>
      </c>
      <c r="L22" s="16">
        <v>12</v>
      </c>
      <c r="M22" s="75">
        <v>17.5</v>
      </c>
      <c r="N22" s="90">
        <v>17.5</v>
      </c>
      <c r="O22" s="58">
        <v>7000</v>
      </c>
      <c r="P22" s="59">
        <f>Table22457891011234567[[#This Row],[PEMBULATAN]]*O22</f>
        <v>122500</v>
      </c>
    </row>
    <row r="23" spans="1:16" ht="26.25" customHeight="1" x14ac:dyDescent="0.2">
      <c r="A23" s="14"/>
      <c r="B23" s="14"/>
      <c r="C23" s="67" t="s">
        <v>127</v>
      </c>
      <c r="D23" s="72" t="s">
        <v>59</v>
      </c>
      <c r="E23" s="13">
        <v>44503</v>
      </c>
      <c r="F23" s="70" t="s">
        <v>60</v>
      </c>
      <c r="G23" s="13">
        <v>44503</v>
      </c>
      <c r="H23" s="71" t="s">
        <v>61</v>
      </c>
      <c r="I23" s="16">
        <v>45</v>
      </c>
      <c r="J23" s="16">
        <v>45</v>
      </c>
      <c r="K23" s="16">
        <v>80</v>
      </c>
      <c r="L23" s="16">
        <v>45</v>
      </c>
      <c r="M23" s="75">
        <v>40.5</v>
      </c>
      <c r="N23" s="66">
        <v>45</v>
      </c>
      <c r="O23" s="58">
        <v>7000</v>
      </c>
      <c r="P23" s="59">
        <f>Table22457891011234567[[#This Row],[PEMBULATAN]]*O23</f>
        <v>315000</v>
      </c>
    </row>
    <row r="24" spans="1:16" ht="26.25" customHeight="1" x14ac:dyDescent="0.2">
      <c r="A24" s="14"/>
      <c r="B24" s="14"/>
      <c r="C24" s="67" t="s">
        <v>128</v>
      </c>
      <c r="D24" s="72" t="s">
        <v>59</v>
      </c>
      <c r="E24" s="13">
        <v>44503</v>
      </c>
      <c r="F24" s="70" t="s">
        <v>60</v>
      </c>
      <c r="G24" s="13">
        <v>44503</v>
      </c>
      <c r="H24" s="71" t="s">
        <v>61</v>
      </c>
      <c r="I24" s="16">
        <v>45</v>
      </c>
      <c r="J24" s="16">
        <v>35</v>
      </c>
      <c r="K24" s="16">
        <v>30</v>
      </c>
      <c r="L24" s="16">
        <v>9</v>
      </c>
      <c r="M24" s="75">
        <v>11.8125</v>
      </c>
      <c r="N24" s="90">
        <v>11.8125</v>
      </c>
      <c r="O24" s="58">
        <v>7000</v>
      </c>
      <c r="P24" s="59">
        <f>Table22457891011234567[[#This Row],[PEMBULATAN]]*O24</f>
        <v>82687.5</v>
      </c>
    </row>
    <row r="25" spans="1:16" ht="26.25" customHeight="1" x14ac:dyDescent="0.2">
      <c r="A25" s="14"/>
      <c r="B25" s="14"/>
      <c r="C25" s="67" t="s">
        <v>129</v>
      </c>
      <c r="D25" s="72" t="s">
        <v>59</v>
      </c>
      <c r="E25" s="13">
        <v>44503</v>
      </c>
      <c r="F25" s="70" t="s">
        <v>60</v>
      </c>
      <c r="G25" s="13">
        <v>44503</v>
      </c>
      <c r="H25" s="71" t="s">
        <v>61</v>
      </c>
      <c r="I25" s="16">
        <v>50</v>
      </c>
      <c r="J25" s="16">
        <v>40</v>
      </c>
      <c r="K25" s="16">
        <v>30</v>
      </c>
      <c r="L25" s="16">
        <v>8</v>
      </c>
      <c r="M25" s="75">
        <v>15</v>
      </c>
      <c r="N25" s="90">
        <v>15</v>
      </c>
      <c r="O25" s="58">
        <v>7000</v>
      </c>
      <c r="P25" s="59">
        <f>Table22457891011234567[[#This Row],[PEMBULATAN]]*O25</f>
        <v>105000</v>
      </c>
    </row>
    <row r="26" spans="1:16" ht="26.25" customHeight="1" x14ac:dyDescent="0.2">
      <c r="A26" s="14"/>
      <c r="B26" s="14"/>
      <c r="C26" s="67" t="s">
        <v>130</v>
      </c>
      <c r="D26" s="72" t="s">
        <v>59</v>
      </c>
      <c r="E26" s="13">
        <v>44503</v>
      </c>
      <c r="F26" s="70" t="s">
        <v>60</v>
      </c>
      <c r="G26" s="13">
        <v>44503</v>
      </c>
      <c r="H26" s="71" t="s">
        <v>61</v>
      </c>
      <c r="I26" s="16">
        <v>45</v>
      </c>
      <c r="J26" s="16">
        <v>39</v>
      </c>
      <c r="K26" s="16">
        <v>38</v>
      </c>
      <c r="L26" s="16">
        <v>16</v>
      </c>
      <c r="M26" s="75">
        <v>16.672499999999999</v>
      </c>
      <c r="N26" s="90">
        <v>16.672499999999999</v>
      </c>
      <c r="O26" s="58">
        <v>7000</v>
      </c>
      <c r="P26" s="59">
        <f>Table22457891011234567[[#This Row],[PEMBULATAN]]*O26</f>
        <v>116707.5</v>
      </c>
    </row>
    <row r="27" spans="1:16" ht="26.25" customHeight="1" x14ac:dyDescent="0.2">
      <c r="A27" s="14"/>
      <c r="B27" s="14"/>
      <c r="C27" s="67" t="s">
        <v>131</v>
      </c>
      <c r="D27" s="72" t="s">
        <v>59</v>
      </c>
      <c r="E27" s="13">
        <v>44503</v>
      </c>
      <c r="F27" s="70" t="s">
        <v>60</v>
      </c>
      <c r="G27" s="13">
        <v>44503</v>
      </c>
      <c r="H27" s="71" t="s">
        <v>61</v>
      </c>
      <c r="I27" s="16">
        <v>83</v>
      </c>
      <c r="J27" s="16">
        <v>35</v>
      </c>
      <c r="K27" s="16">
        <v>20</v>
      </c>
      <c r="L27" s="16">
        <v>12</v>
      </c>
      <c r="M27" s="75">
        <v>14.525</v>
      </c>
      <c r="N27" s="90">
        <v>14.525</v>
      </c>
      <c r="O27" s="58">
        <v>7000</v>
      </c>
      <c r="P27" s="59">
        <f>Table22457891011234567[[#This Row],[PEMBULATAN]]*O27</f>
        <v>101675</v>
      </c>
    </row>
    <row r="28" spans="1:16" ht="26.25" customHeight="1" x14ac:dyDescent="0.2">
      <c r="A28" s="14"/>
      <c r="B28" s="14"/>
      <c r="C28" s="67" t="s">
        <v>132</v>
      </c>
      <c r="D28" s="72" t="s">
        <v>59</v>
      </c>
      <c r="E28" s="13">
        <v>44503</v>
      </c>
      <c r="F28" s="70" t="s">
        <v>60</v>
      </c>
      <c r="G28" s="13">
        <v>44503</v>
      </c>
      <c r="H28" s="71" t="s">
        <v>61</v>
      </c>
      <c r="I28" s="16">
        <v>45</v>
      </c>
      <c r="J28" s="16">
        <v>35</v>
      </c>
      <c r="K28" s="16">
        <v>30</v>
      </c>
      <c r="L28" s="16">
        <v>8</v>
      </c>
      <c r="M28" s="75">
        <v>11.8125</v>
      </c>
      <c r="N28" s="90">
        <v>11.8125</v>
      </c>
      <c r="O28" s="58">
        <v>7000</v>
      </c>
      <c r="P28" s="59">
        <f>Table22457891011234567[[#This Row],[PEMBULATAN]]*O28</f>
        <v>82687.5</v>
      </c>
    </row>
    <row r="29" spans="1:16" ht="26.25" customHeight="1" x14ac:dyDescent="0.2">
      <c r="A29" s="14"/>
      <c r="B29" s="14"/>
      <c r="C29" s="67" t="s">
        <v>133</v>
      </c>
      <c r="D29" s="72" t="s">
        <v>59</v>
      </c>
      <c r="E29" s="13">
        <v>44503</v>
      </c>
      <c r="F29" s="70" t="s">
        <v>60</v>
      </c>
      <c r="G29" s="13">
        <v>44503</v>
      </c>
      <c r="H29" s="71" t="s">
        <v>61</v>
      </c>
      <c r="I29" s="16">
        <v>63</v>
      </c>
      <c r="J29" s="16">
        <v>23</v>
      </c>
      <c r="K29" s="16">
        <v>50</v>
      </c>
      <c r="L29" s="16">
        <v>18</v>
      </c>
      <c r="M29" s="75">
        <v>18.112500000000001</v>
      </c>
      <c r="N29" s="90">
        <v>18.112500000000001</v>
      </c>
      <c r="O29" s="58">
        <v>7000</v>
      </c>
      <c r="P29" s="59">
        <f>Table22457891011234567[[#This Row],[PEMBULATAN]]*O29</f>
        <v>126787.5</v>
      </c>
    </row>
    <row r="30" spans="1:16" ht="26.25" customHeight="1" x14ac:dyDescent="0.2">
      <c r="A30" s="14"/>
      <c r="B30" s="14"/>
      <c r="C30" s="67" t="s">
        <v>134</v>
      </c>
      <c r="D30" s="72" t="s">
        <v>59</v>
      </c>
      <c r="E30" s="13">
        <v>44503</v>
      </c>
      <c r="F30" s="70" t="s">
        <v>60</v>
      </c>
      <c r="G30" s="13">
        <v>44503</v>
      </c>
      <c r="H30" s="71" t="s">
        <v>61</v>
      </c>
      <c r="I30" s="16">
        <v>50</v>
      </c>
      <c r="J30" s="16">
        <v>40</v>
      </c>
      <c r="K30" s="16">
        <v>30</v>
      </c>
      <c r="L30" s="16">
        <v>20</v>
      </c>
      <c r="M30" s="75">
        <v>15</v>
      </c>
      <c r="N30" s="90">
        <v>20</v>
      </c>
      <c r="O30" s="58">
        <v>7000</v>
      </c>
      <c r="P30" s="59">
        <f>Table22457891011234567[[#This Row],[PEMBULATAN]]*O30</f>
        <v>140000</v>
      </c>
    </row>
    <row r="31" spans="1:16" ht="26.25" customHeight="1" x14ac:dyDescent="0.2">
      <c r="A31" s="14"/>
      <c r="B31" s="14"/>
      <c r="C31" s="67" t="s">
        <v>135</v>
      </c>
      <c r="D31" s="72" t="s">
        <v>59</v>
      </c>
      <c r="E31" s="13">
        <v>44503</v>
      </c>
      <c r="F31" s="70" t="s">
        <v>60</v>
      </c>
      <c r="G31" s="13">
        <v>44503</v>
      </c>
      <c r="H31" s="71" t="s">
        <v>61</v>
      </c>
      <c r="I31" s="16">
        <v>75</v>
      </c>
      <c r="J31" s="16">
        <v>35</v>
      </c>
      <c r="K31" s="16">
        <v>20</v>
      </c>
      <c r="L31" s="16">
        <v>5</v>
      </c>
      <c r="M31" s="75">
        <v>13.125</v>
      </c>
      <c r="N31" s="90">
        <v>13.125</v>
      </c>
      <c r="O31" s="58">
        <v>7000</v>
      </c>
      <c r="P31" s="59">
        <f>Table22457891011234567[[#This Row],[PEMBULATAN]]*O31</f>
        <v>91875</v>
      </c>
    </row>
    <row r="32" spans="1:16" ht="26.25" customHeight="1" x14ac:dyDescent="0.2">
      <c r="A32" s="14"/>
      <c r="B32" s="14"/>
      <c r="C32" s="67" t="s">
        <v>136</v>
      </c>
      <c r="D32" s="72" t="s">
        <v>59</v>
      </c>
      <c r="E32" s="13">
        <v>44503</v>
      </c>
      <c r="F32" s="70" t="s">
        <v>60</v>
      </c>
      <c r="G32" s="13">
        <v>44503</v>
      </c>
      <c r="H32" s="71" t="s">
        <v>61</v>
      </c>
      <c r="I32" s="16">
        <v>60</v>
      </c>
      <c r="J32" s="16">
        <v>40</v>
      </c>
      <c r="K32" s="16">
        <v>20</v>
      </c>
      <c r="L32" s="16">
        <v>5</v>
      </c>
      <c r="M32" s="75">
        <v>12</v>
      </c>
      <c r="N32" s="66">
        <v>12</v>
      </c>
      <c r="O32" s="58">
        <v>7000</v>
      </c>
      <c r="P32" s="59">
        <f>Table22457891011234567[[#This Row],[PEMBULATAN]]*O32</f>
        <v>84000</v>
      </c>
    </row>
    <row r="33" spans="1:16" ht="26.25" customHeight="1" x14ac:dyDescent="0.2">
      <c r="A33" s="14"/>
      <c r="B33" s="14"/>
      <c r="C33" s="67" t="s">
        <v>137</v>
      </c>
      <c r="D33" s="72" t="s">
        <v>59</v>
      </c>
      <c r="E33" s="13">
        <v>44503</v>
      </c>
      <c r="F33" s="70" t="s">
        <v>60</v>
      </c>
      <c r="G33" s="13">
        <v>44503</v>
      </c>
      <c r="H33" s="71" t="s">
        <v>61</v>
      </c>
      <c r="I33" s="16">
        <v>40</v>
      </c>
      <c r="J33" s="16">
        <v>30</v>
      </c>
      <c r="K33" s="16">
        <v>25</v>
      </c>
      <c r="L33" s="16">
        <v>8</v>
      </c>
      <c r="M33" s="75">
        <v>7.5</v>
      </c>
      <c r="N33" s="66">
        <v>8</v>
      </c>
      <c r="O33" s="58">
        <v>7000</v>
      </c>
      <c r="P33" s="59">
        <f>Table22457891011234567[[#This Row],[PEMBULATAN]]*O33</f>
        <v>56000</v>
      </c>
    </row>
    <row r="34" spans="1:16" ht="26.25" customHeight="1" x14ac:dyDescent="0.2">
      <c r="A34" s="14"/>
      <c r="B34" s="14"/>
      <c r="C34" s="67" t="s">
        <v>138</v>
      </c>
      <c r="D34" s="72" t="s">
        <v>59</v>
      </c>
      <c r="E34" s="13">
        <v>44503</v>
      </c>
      <c r="F34" s="70" t="s">
        <v>60</v>
      </c>
      <c r="G34" s="13">
        <v>44503</v>
      </c>
      <c r="H34" s="71" t="s">
        <v>61</v>
      </c>
      <c r="I34" s="16">
        <v>110</v>
      </c>
      <c r="J34" s="16">
        <v>30</v>
      </c>
      <c r="K34" s="16">
        <v>25</v>
      </c>
      <c r="L34" s="16">
        <v>13</v>
      </c>
      <c r="M34" s="75">
        <v>20.625</v>
      </c>
      <c r="N34" s="90">
        <v>20.625</v>
      </c>
      <c r="O34" s="58">
        <v>7000</v>
      </c>
      <c r="P34" s="59">
        <f>Table22457891011234567[[#This Row],[PEMBULATAN]]*O34</f>
        <v>144375</v>
      </c>
    </row>
    <row r="35" spans="1:16" ht="26.25" customHeight="1" x14ac:dyDescent="0.2">
      <c r="A35" s="14"/>
      <c r="B35" s="14"/>
      <c r="C35" s="67" t="s">
        <v>139</v>
      </c>
      <c r="D35" s="72" t="s">
        <v>59</v>
      </c>
      <c r="E35" s="13">
        <v>44503</v>
      </c>
      <c r="F35" s="70" t="s">
        <v>60</v>
      </c>
      <c r="G35" s="13">
        <v>44503</v>
      </c>
      <c r="H35" s="71" t="s">
        <v>61</v>
      </c>
      <c r="I35" s="16">
        <v>22</v>
      </c>
      <c r="J35" s="16">
        <v>22</v>
      </c>
      <c r="K35" s="16">
        <v>30</v>
      </c>
      <c r="L35" s="16">
        <v>2</v>
      </c>
      <c r="M35" s="75">
        <v>3.63</v>
      </c>
      <c r="N35" s="90">
        <v>3.63</v>
      </c>
      <c r="O35" s="58">
        <v>7000</v>
      </c>
      <c r="P35" s="59">
        <f>Table22457891011234567[[#This Row],[PEMBULATAN]]*O35</f>
        <v>25410</v>
      </c>
    </row>
    <row r="36" spans="1:16" ht="26.25" customHeight="1" x14ac:dyDescent="0.2">
      <c r="A36" s="14"/>
      <c r="B36" s="14"/>
      <c r="C36" s="67" t="s">
        <v>140</v>
      </c>
      <c r="D36" s="72" t="s">
        <v>59</v>
      </c>
      <c r="E36" s="13">
        <v>44503</v>
      </c>
      <c r="F36" s="70" t="s">
        <v>60</v>
      </c>
      <c r="G36" s="13">
        <v>44503</v>
      </c>
      <c r="H36" s="71" t="s">
        <v>61</v>
      </c>
      <c r="I36" s="16">
        <v>185</v>
      </c>
      <c r="J36" s="16">
        <v>13</v>
      </c>
      <c r="K36" s="16">
        <v>9</v>
      </c>
      <c r="L36" s="16">
        <v>14</v>
      </c>
      <c r="M36" s="75">
        <v>5.4112499999999999</v>
      </c>
      <c r="N36" s="90">
        <v>14</v>
      </c>
      <c r="O36" s="58">
        <v>7000</v>
      </c>
      <c r="P36" s="59">
        <f>Table22457891011234567[[#This Row],[PEMBULATAN]]*O36</f>
        <v>98000</v>
      </c>
    </row>
    <row r="37" spans="1:16" ht="26.25" customHeight="1" x14ac:dyDescent="0.2">
      <c r="A37" s="14"/>
      <c r="B37" s="107"/>
      <c r="C37" s="67" t="s">
        <v>141</v>
      </c>
      <c r="D37" s="72" t="s">
        <v>59</v>
      </c>
      <c r="E37" s="13">
        <v>44503</v>
      </c>
      <c r="F37" s="70" t="s">
        <v>60</v>
      </c>
      <c r="G37" s="13">
        <v>44503</v>
      </c>
      <c r="H37" s="71" t="s">
        <v>61</v>
      </c>
      <c r="I37" s="16">
        <v>67</v>
      </c>
      <c r="J37" s="16">
        <v>54</v>
      </c>
      <c r="K37" s="16">
        <v>25</v>
      </c>
      <c r="L37" s="16">
        <v>24</v>
      </c>
      <c r="M37" s="75">
        <v>22.612500000000001</v>
      </c>
      <c r="N37" s="90">
        <v>24</v>
      </c>
      <c r="O37" s="58">
        <v>7000</v>
      </c>
      <c r="P37" s="59">
        <f>Table22457891011234567[[#This Row],[PEMBULATAN]]*O37</f>
        <v>168000</v>
      </c>
    </row>
    <row r="38" spans="1:16" ht="26.25" customHeight="1" x14ac:dyDescent="0.2">
      <c r="A38" s="14"/>
      <c r="B38" s="14" t="s">
        <v>142</v>
      </c>
      <c r="C38" s="67" t="s">
        <v>143</v>
      </c>
      <c r="D38" s="72" t="s">
        <v>59</v>
      </c>
      <c r="E38" s="13">
        <v>44503</v>
      </c>
      <c r="F38" s="70" t="s">
        <v>60</v>
      </c>
      <c r="G38" s="13">
        <v>44503</v>
      </c>
      <c r="H38" s="71" t="s">
        <v>61</v>
      </c>
      <c r="I38" s="16">
        <v>50</v>
      </c>
      <c r="J38" s="16">
        <v>48</v>
      </c>
      <c r="K38" s="16">
        <v>57</v>
      </c>
      <c r="L38" s="16">
        <v>11</v>
      </c>
      <c r="M38" s="75">
        <v>34.200000000000003</v>
      </c>
      <c r="N38" s="90">
        <v>34.200000000000003</v>
      </c>
      <c r="O38" s="58">
        <v>7000</v>
      </c>
      <c r="P38" s="59">
        <f>Table22457891011234567[[#This Row],[PEMBULATAN]]*O38</f>
        <v>239400.00000000003</v>
      </c>
    </row>
    <row r="39" spans="1:16" ht="26.25" customHeight="1" x14ac:dyDescent="0.2">
      <c r="A39" s="14"/>
      <c r="B39" s="107"/>
      <c r="C39" s="67" t="s">
        <v>144</v>
      </c>
      <c r="D39" s="72" t="s">
        <v>59</v>
      </c>
      <c r="E39" s="13">
        <v>44503</v>
      </c>
      <c r="F39" s="70" t="s">
        <v>60</v>
      </c>
      <c r="G39" s="13">
        <v>44503</v>
      </c>
      <c r="H39" s="71" t="s">
        <v>61</v>
      </c>
      <c r="I39" s="16">
        <v>40</v>
      </c>
      <c r="J39" s="16">
        <v>27</v>
      </c>
      <c r="K39" s="16">
        <v>20</v>
      </c>
      <c r="L39" s="16">
        <v>5</v>
      </c>
      <c r="M39" s="75">
        <v>5.4</v>
      </c>
      <c r="N39" s="90">
        <v>6</v>
      </c>
      <c r="O39" s="58">
        <v>7000</v>
      </c>
      <c r="P39" s="59">
        <f>Table22457891011234567[[#This Row],[PEMBULATAN]]*O39</f>
        <v>42000</v>
      </c>
    </row>
    <row r="40" spans="1:16" ht="26.25" customHeight="1" x14ac:dyDescent="0.2">
      <c r="A40" s="14"/>
      <c r="B40" s="14" t="s">
        <v>145</v>
      </c>
      <c r="C40" s="67" t="s">
        <v>146</v>
      </c>
      <c r="D40" s="72" t="s">
        <v>59</v>
      </c>
      <c r="E40" s="13">
        <v>44503</v>
      </c>
      <c r="F40" s="70" t="s">
        <v>60</v>
      </c>
      <c r="G40" s="13">
        <v>44503</v>
      </c>
      <c r="H40" s="71" t="s">
        <v>61</v>
      </c>
      <c r="I40" s="16">
        <v>87</v>
      </c>
      <c r="J40" s="16">
        <v>40</v>
      </c>
      <c r="K40" s="16">
        <v>90</v>
      </c>
      <c r="L40" s="16">
        <v>45</v>
      </c>
      <c r="M40" s="75">
        <v>78.3</v>
      </c>
      <c r="N40" s="66">
        <v>79</v>
      </c>
      <c r="O40" s="58">
        <v>7000</v>
      </c>
      <c r="P40" s="59">
        <f>Table22457891011234567[[#This Row],[PEMBULATAN]]*O40</f>
        <v>553000</v>
      </c>
    </row>
    <row r="41" spans="1:16" ht="26.25" customHeight="1" x14ac:dyDescent="0.2">
      <c r="A41" s="14"/>
      <c r="B41" s="14"/>
      <c r="C41" s="67" t="s">
        <v>147</v>
      </c>
      <c r="D41" s="72" t="s">
        <v>59</v>
      </c>
      <c r="E41" s="13">
        <v>44503</v>
      </c>
      <c r="F41" s="70" t="s">
        <v>60</v>
      </c>
      <c r="G41" s="13">
        <v>44503</v>
      </c>
      <c r="H41" s="71" t="s">
        <v>61</v>
      </c>
      <c r="I41" s="16">
        <v>47</v>
      </c>
      <c r="J41" s="16">
        <v>40</v>
      </c>
      <c r="K41" s="16">
        <v>20</v>
      </c>
      <c r="L41" s="16">
        <v>9</v>
      </c>
      <c r="M41" s="75">
        <v>9.4</v>
      </c>
      <c r="N41" s="66">
        <v>10</v>
      </c>
      <c r="O41" s="58">
        <v>7000</v>
      </c>
      <c r="P41" s="59">
        <f>Table22457891011234567[[#This Row],[PEMBULATAN]]*O41</f>
        <v>70000</v>
      </c>
    </row>
    <row r="42" spans="1:16" ht="26.25" customHeight="1" x14ac:dyDescent="0.2">
      <c r="A42" s="14"/>
      <c r="B42" s="107"/>
      <c r="C42" s="67" t="s">
        <v>148</v>
      </c>
      <c r="D42" s="72" t="s">
        <v>59</v>
      </c>
      <c r="E42" s="13">
        <v>44503</v>
      </c>
      <c r="F42" s="70" t="s">
        <v>60</v>
      </c>
      <c r="G42" s="13">
        <v>44503</v>
      </c>
      <c r="H42" s="71" t="s">
        <v>61</v>
      </c>
      <c r="I42" s="16">
        <v>20</v>
      </c>
      <c r="J42" s="16">
        <v>15</v>
      </c>
      <c r="K42" s="16">
        <v>10</v>
      </c>
      <c r="L42" s="16">
        <v>5</v>
      </c>
      <c r="M42" s="75">
        <v>0.75</v>
      </c>
      <c r="N42" s="66">
        <v>5</v>
      </c>
      <c r="O42" s="58">
        <v>7000</v>
      </c>
      <c r="P42" s="59">
        <f>Table22457891011234567[[#This Row],[PEMBULATAN]]*O42</f>
        <v>35000</v>
      </c>
    </row>
    <row r="43" spans="1:16" ht="26.25" customHeight="1" x14ac:dyDescent="0.2">
      <c r="A43" s="14"/>
      <c r="B43" s="14" t="s">
        <v>149</v>
      </c>
      <c r="C43" s="67" t="s">
        <v>150</v>
      </c>
      <c r="D43" s="72" t="s">
        <v>59</v>
      </c>
      <c r="E43" s="13">
        <v>44503</v>
      </c>
      <c r="F43" s="70" t="s">
        <v>60</v>
      </c>
      <c r="G43" s="13">
        <v>44503</v>
      </c>
      <c r="H43" s="71" t="s">
        <v>61</v>
      </c>
      <c r="I43" s="16">
        <v>21</v>
      </c>
      <c r="J43" s="16">
        <v>13</v>
      </c>
      <c r="K43" s="16">
        <v>10</v>
      </c>
      <c r="L43" s="16">
        <v>1</v>
      </c>
      <c r="M43" s="75">
        <v>0.6825</v>
      </c>
      <c r="N43" s="66">
        <v>1</v>
      </c>
      <c r="O43" s="58">
        <v>7000</v>
      </c>
      <c r="P43" s="59">
        <f>Table22457891011234567[[#This Row],[PEMBULATAN]]*O43</f>
        <v>7000</v>
      </c>
    </row>
    <row r="44" spans="1:16" ht="26.25" customHeight="1" x14ac:dyDescent="0.2">
      <c r="A44" s="14"/>
      <c r="B44" s="14"/>
      <c r="C44" s="67" t="s">
        <v>151</v>
      </c>
      <c r="D44" s="72" t="s">
        <v>59</v>
      </c>
      <c r="E44" s="13">
        <v>44503</v>
      </c>
      <c r="F44" s="70" t="s">
        <v>60</v>
      </c>
      <c r="G44" s="13">
        <v>44503</v>
      </c>
      <c r="H44" s="71" t="s">
        <v>61</v>
      </c>
      <c r="I44" s="16">
        <v>55</v>
      </c>
      <c r="J44" s="16">
        <v>41</v>
      </c>
      <c r="K44" s="16">
        <v>60</v>
      </c>
      <c r="L44" s="16">
        <v>9</v>
      </c>
      <c r="M44" s="75">
        <v>33.825000000000003</v>
      </c>
      <c r="N44" s="90">
        <v>33.825000000000003</v>
      </c>
      <c r="O44" s="58">
        <v>7000</v>
      </c>
      <c r="P44" s="59">
        <f>Table22457891011234567[[#This Row],[PEMBULATAN]]*O44</f>
        <v>236775.00000000003</v>
      </c>
    </row>
    <row r="45" spans="1:16" ht="26.25" customHeight="1" x14ac:dyDescent="0.2">
      <c r="A45" s="14"/>
      <c r="B45" s="14"/>
      <c r="C45" s="67" t="s">
        <v>152</v>
      </c>
      <c r="D45" s="72" t="s">
        <v>59</v>
      </c>
      <c r="E45" s="13">
        <v>44503</v>
      </c>
      <c r="F45" s="70" t="s">
        <v>60</v>
      </c>
      <c r="G45" s="13">
        <v>44503</v>
      </c>
      <c r="H45" s="71" t="s">
        <v>61</v>
      </c>
      <c r="I45" s="16">
        <v>61</v>
      </c>
      <c r="J45" s="16">
        <v>40</v>
      </c>
      <c r="K45" s="16">
        <v>51</v>
      </c>
      <c r="L45" s="16">
        <v>9</v>
      </c>
      <c r="M45" s="75">
        <v>31.11</v>
      </c>
      <c r="N45" s="90">
        <v>31.11</v>
      </c>
      <c r="O45" s="58">
        <v>7000</v>
      </c>
      <c r="P45" s="59">
        <f>Table22457891011234567[[#This Row],[PEMBULATAN]]*O45</f>
        <v>217770</v>
      </c>
    </row>
    <row r="46" spans="1:16" ht="22.5" customHeight="1" x14ac:dyDescent="0.2">
      <c r="A46" s="145" t="s">
        <v>30</v>
      </c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7"/>
      <c r="M46" s="73">
        <f>SUBTOTAL(109,Table22457891011234567[KG VOLUME])</f>
        <v>902.27324999999985</v>
      </c>
      <c r="N46" s="62">
        <f>SUM(N3:N45)</f>
        <v>978.7170000000001</v>
      </c>
      <c r="O46" s="148">
        <f>SUM(P3:P45)</f>
        <v>6851019</v>
      </c>
      <c r="P46" s="149"/>
    </row>
    <row r="47" spans="1:16" ht="18" customHeight="1" x14ac:dyDescent="0.2">
      <c r="A47" s="80"/>
      <c r="B47" s="50" t="s">
        <v>42</v>
      </c>
      <c r="C47" s="49"/>
      <c r="D47" s="51" t="s">
        <v>43</v>
      </c>
      <c r="E47" s="80"/>
      <c r="F47" s="80"/>
      <c r="G47" s="80"/>
      <c r="H47" s="80"/>
      <c r="I47" s="80"/>
      <c r="J47" s="80"/>
      <c r="K47" s="80"/>
      <c r="L47" s="80"/>
      <c r="M47" s="81"/>
      <c r="N47" s="82" t="s">
        <v>52</v>
      </c>
      <c r="O47" s="83"/>
      <c r="P47" s="83">
        <v>0</v>
      </c>
    </row>
    <row r="48" spans="1:16" ht="18" customHeight="1" thickBot="1" x14ac:dyDescent="0.25">
      <c r="A48" s="80"/>
      <c r="B48" s="50"/>
      <c r="C48" s="49"/>
      <c r="D48" s="51"/>
      <c r="E48" s="80"/>
      <c r="F48" s="80"/>
      <c r="G48" s="80"/>
      <c r="H48" s="80"/>
      <c r="I48" s="80"/>
      <c r="J48" s="80"/>
      <c r="K48" s="80"/>
      <c r="L48" s="80"/>
      <c r="M48" s="81"/>
      <c r="N48" s="84" t="s">
        <v>53</v>
      </c>
      <c r="O48" s="85"/>
      <c r="P48" s="85">
        <f>O46-P47</f>
        <v>6851019</v>
      </c>
    </row>
    <row r="49" spans="1:16" ht="18" customHeight="1" x14ac:dyDescent="0.2">
      <c r="A49" s="11"/>
      <c r="H49" s="57"/>
      <c r="N49" s="56" t="s">
        <v>31</v>
      </c>
      <c r="P49" s="63">
        <f>P48*1%</f>
        <v>68510.19</v>
      </c>
    </row>
    <row r="50" spans="1:16" ht="18" customHeight="1" thickBot="1" x14ac:dyDescent="0.25">
      <c r="A50" s="11"/>
      <c r="H50" s="57"/>
      <c r="N50" s="56" t="s">
        <v>54</v>
      </c>
      <c r="P50" s="65">
        <f>P48*2%</f>
        <v>137020.38</v>
      </c>
    </row>
    <row r="51" spans="1:16" ht="18" customHeight="1" x14ac:dyDescent="0.2">
      <c r="A51" s="11"/>
      <c r="H51" s="57"/>
      <c r="N51" s="60" t="s">
        <v>32</v>
      </c>
      <c r="O51" s="61"/>
      <c r="P51" s="64">
        <f>P48+P49-P50</f>
        <v>6782508.8100000005</v>
      </c>
    </row>
    <row r="53" spans="1:16" x14ac:dyDescent="0.2">
      <c r="A53" s="11"/>
      <c r="H53" s="57"/>
      <c r="P53" s="65"/>
    </row>
    <row r="54" spans="1:16" x14ac:dyDescent="0.2">
      <c r="A54" s="11"/>
      <c r="H54" s="57"/>
      <c r="O54" s="52"/>
      <c r="P54" s="65"/>
    </row>
    <row r="55" spans="1:16" s="3" customFormat="1" x14ac:dyDescent="0.25">
      <c r="A55" s="11"/>
      <c r="B55" s="2"/>
      <c r="C55" s="2"/>
      <c r="E55" s="12"/>
      <c r="H55" s="57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57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57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57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57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57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57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57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57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57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57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57"/>
      <c r="N66" s="15"/>
      <c r="O66" s="15"/>
      <c r="P66" s="15"/>
    </row>
  </sheetData>
  <mergeCells count="2">
    <mergeCell ref="A46:L46"/>
    <mergeCell ref="O46:P46"/>
  </mergeCells>
  <conditionalFormatting sqref="B3">
    <cfRule type="duplicateValues" dxfId="614" priority="2"/>
  </conditionalFormatting>
  <conditionalFormatting sqref="B4">
    <cfRule type="duplicateValues" dxfId="613" priority="1"/>
  </conditionalFormatting>
  <conditionalFormatting sqref="B5:B45">
    <cfRule type="duplicateValues" dxfId="612" priority="1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7"/>
  <sheetViews>
    <sheetView zoomScale="110" zoomScaleNormal="110" workbookViewId="0">
      <pane xSplit="3" ySplit="2" topLeftCell="D11" activePane="bottomRight" state="frozen"/>
      <selection pane="topRight" activeCell="B1" sqref="B1"/>
      <selection pane="bottomLeft" activeCell="A3" sqref="A3"/>
      <selection pane="bottomRight" activeCell="O18" sqref="O1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116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115">
        <v>403282</v>
      </c>
      <c r="B3" s="68" t="s">
        <v>153</v>
      </c>
      <c r="C3" s="9" t="s">
        <v>154</v>
      </c>
      <c r="D3" s="70" t="s">
        <v>59</v>
      </c>
      <c r="E3" s="13">
        <v>44504</v>
      </c>
      <c r="F3" s="70" t="s">
        <v>169</v>
      </c>
      <c r="G3" s="13">
        <v>44507</v>
      </c>
      <c r="H3" s="10" t="s">
        <v>170</v>
      </c>
      <c r="I3" s="1">
        <v>82</v>
      </c>
      <c r="J3" s="1">
        <v>43</v>
      </c>
      <c r="K3" s="1">
        <v>43</v>
      </c>
      <c r="L3" s="1">
        <v>31</v>
      </c>
      <c r="M3" s="74">
        <v>37.904499999999999</v>
      </c>
      <c r="N3" s="90">
        <v>37.904499999999999</v>
      </c>
      <c r="O3" s="58">
        <v>7000</v>
      </c>
      <c r="P3" s="59">
        <f>Table224578910112345678[[#This Row],[PEMBULATAN]]*O3</f>
        <v>265331.5</v>
      </c>
    </row>
    <row r="4" spans="1:16" ht="26.25" customHeight="1" x14ac:dyDescent="0.2">
      <c r="A4" s="14"/>
      <c r="B4" s="69"/>
      <c r="C4" s="9" t="s">
        <v>155</v>
      </c>
      <c r="D4" s="70" t="s">
        <v>59</v>
      </c>
      <c r="E4" s="13">
        <v>44504</v>
      </c>
      <c r="F4" s="70" t="s">
        <v>169</v>
      </c>
      <c r="G4" s="13">
        <v>44507</v>
      </c>
      <c r="H4" s="10" t="s">
        <v>170</v>
      </c>
      <c r="I4" s="1">
        <v>51</v>
      </c>
      <c r="J4" s="1">
        <v>35</v>
      </c>
      <c r="K4" s="1">
        <v>35</v>
      </c>
      <c r="L4" s="1">
        <v>6</v>
      </c>
      <c r="M4" s="74">
        <v>15.61875</v>
      </c>
      <c r="N4" s="90">
        <v>15.61875</v>
      </c>
      <c r="O4" s="58">
        <v>7000</v>
      </c>
      <c r="P4" s="59">
        <f>Table224578910112345678[[#This Row],[PEMBULATAN]]*O4</f>
        <v>109331.25</v>
      </c>
    </row>
    <row r="5" spans="1:16" ht="26.25" customHeight="1" x14ac:dyDescent="0.2">
      <c r="A5" s="14"/>
      <c r="B5" s="14"/>
      <c r="C5" s="9" t="s">
        <v>156</v>
      </c>
      <c r="D5" s="70" t="s">
        <v>59</v>
      </c>
      <c r="E5" s="13">
        <v>44504</v>
      </c>
      <c r="F5" s="70" t="s">
        <v>169</v>
      </c>
      <c r="G5" s="13">
        <v>44507</v>
      </c>
      <c r="H5" s="10" t="s">
        <v>170</v>
      </c>
      <c r="I5" s="1">
        <v>40</v>
      </c>
      <c r="J5" s="1">
        <v>44</v>
      </c>
      <c r="K5" s="1">
        <v>27</v>
      </c>
      <c r="L5" s="1">
        <v>20</v>
      </c>
      <c r="M5" s="74">
        <v>11.88</v>
      </c>
      <c r="N5" s="90">
        <v>20</v>
      </c>
      <c r="O5" s="58">
        <v>7000</v>
      </c>
      <c r="P5" s="59">
        <f>Table224578910112345678[[#This Row],[PEMBULATAN]]*O5</f>
        <v>140000</v>
      </c>
    </row>
    <row r="6" spans="1:16" ht="26.25" customHeight="1" x14ac:dyDescent="0.2">
      <c r="A6" s="14"/>
      <c r="B6" s="14"/>
      <c r="C6" s="67" t="s">
        <v>157</v>
      </c>
      <c r="D6" s="72" t="s">
        <v>59</v>
      </c>
      <c r="E6" s="13">
        <v>44504</v>
      </c>
      <c r="F6" s="70" t="s">
        <v>169</v>
      </c>
      <c r="G6" s="13">
        <v>44507</v>
      </c>
      <c r="H6" s="71" t="s">
        <v>170</v>
      </c>
      <c r="I6" s="16">
        <v>44</v>
      </c>
      <c r="J6" s="16">
        <v>40</v>
      </c>
      <c r="K6" s="16">
        <v>26</v>
      </c>
      <c r="L6" s="16">
        <v>6</v>
      </c>
      <c r="M6" s="75">
        <v>11.44</v>
      </c>
      <c r="N6" s="90">
        <v>12</v>
      </c>
      <c r="O6" s="58">
        <v>7000</v>
      </c>
      <c r="P6" s="59">
        <f>Table224578910112345678[[#This Row],[PEMBULATAN]]*O6</f>
        <v>84000</v>
      </c>
    </row>
    <row r="7" spans="1:16" ht="26.25" customHeight="1" x14ac:dyDescent="0.2">
      <c r="A7" s="14"/>
      <c r="B7" s="14"/>
      <c r="C7" s="67" t="s">
        <v>158</v>
      </c>
      <c r="D7" s="72" t="s">
        <v>59</v>
      </c>
      <c r="E7" s="13">
        <v>44504</v>
      </c>
      <c r="F7" s="70" t="s">
        <v>169</v>
      </c>
      <c r="G7" s="13">
        <v>44507</v>
      </c>
      <c r="H7" s="71" t="s">
        <v>170</v>
      </c>
      <c r="I7" s="16">
        <v>62</v>
      </c>
      <c r="J7" s="16">
        <v>38</v>
      </c>
      <c r="K7" s="16">
        <v>38</v>
      </c>
      <c r="L7" s="16">
        <v>14</v>
      </c>
      <c r="M7" s="75">
        <v>22.382000000000001</v>
      </c>
      <c r="N7" s="90">
        <v>23</v>
      </c>
      <c r="O7" s="58">
        <v>7000</v>
      </c>
      <c r="P7" s="59">
        <f>Table224578910112345678[[#This Row],[PEMBULATAN]]*O7</f>
        <v>161000</v>
      </c>
    </row>
    <row r="8" spans="1:16" ht="26.25" customHeight="1" x14ac:dyDescent="0.2">
      <c r="A8" s="14"/>
      <c r="B8" s="14"/>
      <c r="C8" s="67" t="s">
        <v>159</v>
      </c>
      <c r="D8" s="72" t="s">
        <v>59</v>
      </c>
      <c r="E8" s="13">
        <v>44504</v>
      </c>
      <c r="F8" s="70" t="s">
        <v>169</v>
      </c>
      <c r="G8" s="13">
        <v>44507</v>
      </c>
      <c r="H8" s="71" t="s">
        <v>170</v>
      </c>
      <c r="I8" s="16">
        <v>56</v>
      </c>
      <c r="J8" s="16">
        <v>52</v>
      </c>
      <c r="K8" s="16">
        <v>28</v>
      </c>
      <c r="L8" s="16">
        <v>16</v>
      </c>
      <c r="M8" s="75">
        <v>20.384</v>
      </c>
      <c r="N8" s="90">
        <v>21</v>
      </c>
      <c r="O8" s="58">
        <v>7000</v>
      </c>
      <c r="P8" s="59">
        <f>Table224578910112345678[[#This Row],[PEMBULATAN]]*O8</f>
        <v>147000</v>
      </c>
    </row>
    <row r="9" spans="1:16" ht="26.25" customHeight="1" x14ac:dyDescent="0.2">
      <c r="A9" s="14"/>
      <c r="B9" s="14"/>
      <c r="C9" s="67" t="s">
        <v>160</v>
      </c>
      <c r="D9" s="72" t="s">
        <v>59</v>
      </c>
      <c r="E9" s="13">
        <v>44504</v>
      </c>
      <c r="F9" s="70" t="s">
        <v>169</v>
      </c>
      <c r="G9" s="13">
        <v>44507</v>
      </c>
      <c r="H9" s="71" t="s">
        <v>170</v>
      </c>
      <c r="I9" s="16">
        <v>71</v>
      </c>
      <c r="J9" s="16">
        <v>59</v>
      </c>
      <c r="K9" s="16">
        <v>31</v>
      </c>
      <c r="L9" s="16">
        <v>24</v>
      </c>
      <c r="M9" s="75">
        <v>32.464750000000002</v>
      </c>
      <c r="N9" s="90">
        <v>33</v>
      </c>
      <c r="O9" s="58">
        <v>7000</v>
      </c>
      <c r="P9" s="59">
        <f>Table224578910112345678[[#This Row],[PEMBULATAN]]*O9</f>
        <v>231000</v>
      </c>
    </row>
    <row r="10" spans="1:16" ht="26.25" customHeight="1" x14ac:dyDescent="0.2">
      <c r="A10" s="14"/>
      <c r="B10" s="14"/>
      <c r="C10" s="67" t="s">
        <v>161</v>
      </c>
      <c r="D10" s="72" t="s">
        <v>59</v>
      </c>
      <c r="E10" s="13">
        <v>44504</v>
      </c>
      <c r="F10" s="70" t="s">
        <v>169</v>
      </c>
      <c r="G10" s="13">
        <v>44507</v>
      </c>
      <c r="H10" s="71" t="s">
        <v>170</v>
      </c>
      <c r="I10" s="16">
        <v>52</v>
      </c>
      <c r="J10" s="16">
        <v>31</v>
      </c>
      <c r="K10" s="16">
        <v>20</v>
      </c>
      <c r="L10" s="16">
        <v>20</v>
      </c>
      <c r="M10" s="75">
        <v>8.06</v>
      </c>
      <c r="N10" s="90">
        <v>20</v>
      </c>
      <c r="O10" s="58">
        <v>7000</v>
      </c>
      <c r="P10" s="59">
        <f>Table224578910112345678[[#This Row],[PEMBULATAN]]*O10</f>
        <v>140000</v>
      </c>
    </row>
    <row r="11" spans="1:16" ht="26.25" customHeight="1" x14ac:dyDescent="0.2">
      <c r="A11" s="14"/>
      <c r="B11" s="14"/>
      <c r="C11" s="67" t="s">
        <v>162</v>
      </c>
      <c r="D11" s="72" t="s">
        <v>59</v>
      </c>
      <c r="E11" s="13">
        <v>44504</v>
      </c>
      <c r="F11" s="70" t="s">
        <v>169</v>
      </c>
      <c r="G11" s="13">
        <v>44507</v>
      </c>
      <c r="H11" s="71" t="s">
        <v>170</v>
      </c>
      <c r="I11" s="16">
        <v>52</v>
      </c>
      <c r="J11" s="16">
        <v>57</v>
      </c>
      <c r="K11" s="16">
        <v>31</v>
      </c>
      <c r="L11" s="16">
        <v>16</v>
      </c>
      <c r="M11" s="75">
        <v>22.971</v>
      </c>
      <c r="N11" s="90">
        <v>22.971</v>
      </c>
      <c r="O11" s="58">
        <v>7000</v>
      </c>
      <c r="P11" s="59">
        <f>Table224578910112345678[[#This Row],[PEMBULATAN]]*O11</f>
        <v>160797</v>
      </c>
    </row>
    <row r="12" spans="1:16" ht="26.25" customHeight="1" x14ac:dyDescent="0.2">
      <c r="A12" s="14"/>
      <c r="B12" s="14"/>
      <c r="C12" s="67" t="s">
        <v>163</v>
      </c>
      <c r="D12" s="72" t="s">
        <v>59</v>
      </c>
      <c r="E12" s="13">
        <v>44504</v>
      </c>
      <c r="F12" s="70" t="s">
        <v>169</v>
      </c>
      <c r="G12" s="13">
        <v>44507</v>
      </c>
      <c r="H12" s="71" t="s">
        <v>170</v>
      </c>
      <c r="I12" s="16">
        <v>42</v>
      </c>
      <c r="J12" s="16">
        <v>32</v>
      </c>
      <c r="K12" s="16">
        <v>39</v>
      </c>
      <c r="L12" s="16">
        <v>20</v>
      </c>
      <c r="M12" s="75">
        <v>13.103999999999999</v>
      </c>
      <c r="N12" s="90">
        <v>20</v>
      </c>
      <c r="O12" s="58">
        <v>7000</v>
      </c>
      <c r="P12" s="59">
        <f>Table224578910112345678[[#This Row],[PEMBULATAN]]*O12</f>
        <v>140000</v>
      </c>
    </row>
    <row r="13" spans="1:16" ht="26.25" customHeight="1" x14ac:dyDescent="0.2">
      <c r="A13" s="14"/>
      <c r="B13" s="14"/>
      <c r="C13" s="67" t="s">
        <v>164</v>
      </c>
      <c r="D13" s="72" t="s">
        <v>59</v>
      </c>
      <c r="E13" s="13">
        <v>44504</v>
      </c>
      <c r="F13" s="70" t="s">
        <v>169</v>
      </c>
      <c r="G13" s="13">
        <v>44507</v>
      </c>
      <c r="H13" s="71" t="s">
        <v>170</v>
      </c>
      <c r="I13" s="16">
        <v>84</v>
      </c>
      <c r="J13" s="16">
        <v>60</v>
      </c>
      <c r="K13" s="16">
        <v>33</v>
      </c>
      <c r="L13" s="16">
        <v>41</v>
      </c>
      <c r="M13" s="75">
        <v>41.58</v>
      </c>
      <c r="N13" s="90">
        <v>41.58</v>
      </c>
      <c r="O13" s="58">
        <v>7000</v>
      </c>
      <c r="P13" s="59">
        <f>Table224578910112345678[[#This Row],[PEMBULATAN]]*O13</f>
        <v>291060</v>
      </c>
    </row>
    <row r="14" spans="1:16" ht="26.25" customHeight="1" x14ac:dyDescent="0.2">
      <c r="A14" s="14"/>
      <c r="B14" s="14"/>
      <c r="C14" s="67" t="s">
        <v>165</v>
      </c>
      <c r="D14" s="72" t="s">
        <v>59</v>
      </c>
      <c r="E14" s="13">
        <v>44504</v>
      </c>
      <c r="F14" s="70" t="s">
        <v>169</v>
      </c>
      <c r="G14" s="13">
        <v>44507</v>
      </c>
      <c r="H14" s="71" t="s">
        <v>170</v>
      </c>
      <c r="I14" s="16">
        <v>87</v>
      </c>
      <c r="J14" s="16">
        <v>63</v>
      </c>
      <c r="K14" s="16">
        <v>36</v>
      </c>
      <c r="L14" s="16">
        <v>32</v>
      </c>
      <c r="M14" s="75">
        <v>49.329000000000001</v>
      </c>
      <c r="N14" s="90">
        <v>50</v>
      </c>
      <c r="O14" s="58">
        <v>7000</v>
      </c>
      <c r="P14" s="59">
        <f>Table224578910112345678[[#This Row],[PEMBULATAN]]*O14</f>
        <v>350000</v>
      </c>
    </row>
    <row r="15" spans="1:16" ht="26.25" customHeight="1" x14ac:dyDescent="0.2">
      <c r="A15" s="14"/>
      <c r="B15" s="107"/>
      <c r="C15" s="67" t="s">
        <v>166</v>
      </c>
      <c r="D15" s="72" t="s">
        <v>59</v>
      </c>
      <c r="E15" s="13">
        <v>44504</v>
      </c>
      <c r="F15" s="70" t="s">
        <v>169</v>
      </c>
      <c r="G15" s="13">
        <v>44507</v>
      </c>
      <c r="H15" s="71" t="s">
        <v>170</v>
      </c>
      <c r="I15" s="16">
        <v>71</v>
      </c>
      <c r="J15" s="16">
        <v>59</v>
      </c>
      <c r="K15" s="16">
        <v>30</v>
      </c>
      <c r="L15" s="16">
        <v>24</v>
      </c>
      <c r="M15" s="75">
        <v>31.4175</v>
      </c>
      <c r="N15" s="90">
        <v>32</v>
      </c>
      <c r="O15" s="58">
        <v>7000</v>
      </c>
      <c r="P15" s="59">
        <f>Table224578910112345678[[#This Row],[PEMBULATAN]]*O15</f>
        <v>224000</v>
      </c>
    </row>
    <row r="16" spans="1:16" ht="26.25" customHeight="1" x14ac:dyDescent="0.2">
      <c r="A16" s="14"/>
      <c r="B16" s="14" t="s">
        <v>167</v>
      </c>
      <c r="C16" s="67" t="s">
        <v>168</v>
      </c>
      <c r="D16" s="72" t="s">
        <v>59</v>
      </c>
      <c r="E16" s="13">
        <v>44504</v>
      </c>
      <c r="F16" s="70" t="s">
        <v>169</v>
      </c>
      <c r="G16" s="13">
        <v>44507</v>
      </c>
      <c r="H16" s="71" t="s">
        <v>170</v>
      </c>
      <c r="I16" s="16">
        <v>55</v>
      </c>
      <c r="J16" s="16">
        <v>40</v>
      </c>
      <c r="K16" s="16">
        <v>34</v>
      </c>
      <c r="L16" s="16">
        <v>17</v>
      </c>
      <c r="M16" s="75">
        <v>18.7</v>
      </c>
      <c r="N16" s="90">
        <v>18.7</v>
      </c>
      <c r="O16" s="58">
        <v>7000</v>
      </c>
      <c r="P16" s="59">
        <f>Table224578910112345678[[#This Row],[PEMBULATAN]]*O16</f>
        <v>130900</v>
      </c>
    </row>
    <row r="17" spans="1:16" ht="22.5" customHeight="1" x14ac:dyDescent="0.2">
      <c r="A17" s="145" t="s">
        <v>30</v>
      </c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7"/>
      <c r="M17" s="73">
        <f>SUBTOTAL(109,Table224578910112345678[KG VOLUME])</f>
        <v>337.2355</v>
      </c>
      <c r="N17" s="62">
        <f>SUM(N3:N16)</f>
        <v>367.77424999999999</v>
      </c>
      <c r="O17" s="148">
        <f>SUM(P3:P16)</f>
        <v>2574419.75</v>
      </c>
      <c r="P17" s="149"/>
    </row>
    <row r="18" spans="1:16" ht="18" customHeight="1" x14ac:dyDescent="0.2">
      <c r="A18" s="80"/>
      <c r="B18" s="50" t="s">
        <v>42</v>
      </c>
      <c r="C18" s="49"/>
      <c r="D18" s="51" t="s">
        <v>43</v>
      </c>
      <c r="E18" s="80"/>
      <c r="F18" s="80"/>
      <c r="G18" s="80"/>
      <c r="H18" s="80"/>
      <c r="I18" s="80"/>
      <c r="J18" s="80"/>
      <c r="K18" s="80"/>
      <c r="L18" s="80"/>
      <c r="M18" s="81"/>
      <c r="N18" s="82" t="s">
        <v>52</v>
      </c>
      <c r="O18" s="83"/>
      <c r="P18" s="83">
        <v>0</v>
      </c>
    </row>
    <row r="19" spans="1:16" ht="18" customHeight="1" thickBot="1" x14ac:dyDescent="0.25">
      <c r="A19" s="80"/>
      <c r="B19" s="50"/>
      <c r="C19" s="49"/>
      <c r="D19" s="51"/>
      <c r="E19" s="80"/>
      <c r="F19" s="80"/>
      <c r="G19" s="80"/>
      <c r="H19" s="80"/>
      <c r="I19" s="80"/>
      <c r="J19" s="80"/>
      <c r="K19" s="80"/>
      <c r="L19" s="80"/>
      <c r="M19" s="81"/>
      <c r="N19" s="84" t="s">
        <v>53</v>
      </c>
      <c r="O19" s="85"/>
      <c r="P19" s="85">
        <f>O17-P18</f>
        <v>2574419.75</v>
      </c>
    </row>
    <row r="20" spans="1:16" ht="18" customHeight="1" x14ac:dyDescent="0.2">
      <c r="A20" s="11"/>
      <c r="H20" s="57"/>
      <c r="N20" s="56" t="s">
        <v>31</v>
      </c>
      <c r="P20" s="63">
        <f>P19*1%</f>
        <v>25744.197500000002</v>
      </c>
    </row>
    <row r="21" spans="1:16" ht="18" customHeight="1" thickBot="1" x14ac:dyDescent="0.25">
      <c r="A21" s="11"/>
      <c r="H21" s="57"/>
      <c r="N21" s="56" t="s">
        <v>54</v>
      </c>
      <c r="P21" s="65">
        <f>P19*2%</f>
        <v>51488.395000000004</v>
      </c>
    </row>
    <row r="22" spans="1:16" ht="18" customHeight="1" x14ac:dyDescent="0.2">
      <c r="A22" s="11"/>
      <c r="H22" s="57"/>
      <c r="N22" s="60" t="s">
        <v>32</v>
      </c>
      <c r="O22" s="61"/>
      <c r="P22" s="64">
        <f>P19+P20-P21</f>
        <v>2548675.5524999998</v>
      </c>
    </row>
    <row r="24" spans="1:16" x14ac:dyDescent="0.2">
      <c r="A24" s="11"/>
      <c r="H24" s="57"/>
      <c r="P24" s="65"/>
    </row>
    <row r="25" spans="1:16" x14ac:dyDescent="0.2">
      <c r="A25" s="11"/>
      <c r="H25" s="57"/>
      <c r="O25" s="52"/>
      <c r="P25" s="65"/>
    </row>
    <row r="26" spans="1:16" s="3" customFormat="1" x14ac:dyDescent="0.25">
      <c r="A26" s="11"/>
      <c r="B26" s="2"/>
      <c r="C26" s="2"/>
      <c r="E26" s="12"/>
      <c r="H26" s="57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57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57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57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57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57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57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57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57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57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57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57"/>
      <c r="N37" s="15"/>
      <c r="O37" s="15"/>
      <c r="P37" s="15"/>
    </row>
  </sheetData>
  <mergeCells count="2">
    <mergeCell ref="A17:L17"/>
    <mergeCell ref="O17:P17"/>
  </mergeCells>
  <conditionalFormatting sqref="B3">
    <cfRule type="duplicateValues" dxfId="596" priority="2"/>
  </conditionalFormatting>
  <conditionalFormatting sqref="B4">
    <cfRule type="duplicateValues" dxfId="595" priority="1"/>
  </conditionalFormatting>
  <conditionalFormatting sqref="B5:B16">
    <cfRule type="duplicateValues" dxfId="594" priority="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9"/>
  <sheetViews>
    <sheetView zoomScale="110" zoomScaleNormal="110" workbookViewId="0">
      <pane xSplit="3" ySplit="2" topLeftCell="D33" activePane="bottomRight" state="frozen"/>
      <selection pane="topRight" activeCell="B1" sqref="B1"/>
      <selection pane="bottomLeft" activeCell="A3" sqref="A3"/>
      <selection pane="bottomRight" activeCell="O40" sqref="O4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3" t="s">
        <v>44</v>
      </c>
      <c r="B2" s="7" t="s">
        <v>7</v>
      </c>
      <c r="C2" s="7" t="s">
        <v>0</v>
      </c>
      <c r="D2" s="7" t="s">
        <v>1</v>
      </c>
      <c r="E2" s="54" t="s">
        <v>4</v>
      </c>
      <c r="F2" s="7" t="s">
        <v>3</v>
      </c>
      <c r="G2" s="7" t="s">
        <v>5</v>
      </c>
      <c r="H2" s="54" t="s">
        <v>2</v>
      </c>
      <c r="I2" s="7" t="s">
        <v>39</v>
      </c>
      <c r="J2" s="7" t="s">
        <v>40</v>
      </c>
      <c r="K2" s="7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</row>
    <row r="3" spans="1:16" ht="26.25" customHeight="1" x14ac:dyDescent="0.2">
      <c r="A3" s="77">
        <v>402326</v>
      </c>
      <c r="B3" s="68" t="s">
        <v>171</v>
      </c>
      <c r="C3" s="9" t="s">
        <v>172</v>
      </c>
      <c r="D3" s="70" t="s">
        <v>59</v>
      </c>
      <c r="E3" s="13">
        <v>44504</v>
      </c>
      <c r="F3" s="70" t="s">
        <v>169</v>
      </c>
      <c r="G3" s="13">
        <v>44507</v>
      </c>
      <c r="H3" s="10" t="s">
        <v>170</v>
      </c>
      <c r="I3" s="1">
        <v>75</v>
      </c>
      <c r="J3" s="1">
        <v>30</v>
      </c>
      <c r="K3" s="1">
        <v>20</v>
      </c>
      <c r="L3" s="1">
        <v>12</v>
      </c>
      <c r="M3" s="74">
        <v>11.25</v>
      </c>
      <c r="N3" s="8">
        <v>12</v>
      </c>
      <c r="O3" s="58">
        <v>7000</v>
      </c>
      <c r="P3" s="59">
        <f>Table2245789101123456789[[#This Row],[PEMBULATAN]]*O3</f>
        <v>84000</v>
      </c>
    </row>
    <row r="4" spans="1:16" ht="26.25" customHeight="1" x14ac:dyDescent="0.2">
      <c r="A4" s="14"/>
      <c r="B4" s="69"/>
      <c r="C4" s="9" t="s">
        <v>173</v>
      </c>
      <c r="D4" s="70" t="s">
        <v>59</v>
      </c>
      <c r="E4" s="13">
        <v>44504</v>
      </c>
      <c r="F4" s="70" t="s">
        <v>169</v>
      </c>
      <c r="G4" s="13">
        <v>44507</v>
      </c>
      <c r="H4" s="10" t="s">
        <v>170</v>
      </c>
      <c r="I4" s="1">
        <v>55</v>
      </c>
      <c r="J4" s="1">
        <v>25</v>
      </c>
      <c r="K4" s="1">
        <v>25</v>
      </c>
      <c r="L4" s="1">
        <v>12</v>
      </c>
      <c r="M4" s="74">
        <v>8.59375</v>
      </c>
      <c r="N4" s="8">
        <v>12</v>
      </c>
      <c r="O4" s="58">
        <v>7000</v>
      </c>
      <c r="P4" s="59">
        <f>Table2245789101123456789[[#This Row],[PEMBULATAN]]*O4</f>
        <v>84000</v>
      </c>
    </row>
    <row r="5" spans="1:16" ht="26.25" customHeight="1" x14ac:dyDescent="0.2">
      <c r="A5" s="14"/>
      <c r="B5" s="14"/>
      <c r="C5" s="9" t="s">
        <v>174</v>
      </c>
      <c r="D5" s="70" t="s">
        <v>59</v>
      </c>
      <c r="E5" s="13">
        <v>44504</v>
      </c>
      <c r="F5" s="70" t="s">
        <v>169</v>
      </c>
      <c r="G5" s="13">
        <v>44507</v>
      </c>
      <c r="H5" s="10" t="s">
        <v>170</v>
      </c>
      <c r="I5" s="1">
        <v>180</v>
      </c>
      <c r="J5" s="1">
        <v>25</v>
      </c>
      <c r="K5" s="1">
        <v>14</v>
      </c>
      <c r="L5" s="1">
        <v>10</v>
      </c>
      <c r="M5" s="74">
        <v>15.75</v>
      </c>
      <c r="N5" s="90">
        <v>15.75</v>
      </c>
      <c r="O5" s="58">
        <v>7000</v>
      </c>
      <c r="P5" s="59">
        <f>Table2245789101123456789[[#This Row],[PEMBULATAN]]*O5</f>
        <v>110250</v>
      </c>
    </row>
    <row r="6" spans="1:16" ht="26.25" customHeight="1" x14ac:dyDescent="0.2">
      <c r="A6" s="14"/>
      <c r="B6" s="14"/>
      <c r="C6" s="67" t="s">
        <v>175</v>
      </c>
      <c r="D6" s="72" t="s">
        <v>59</v>
      </c>
      <c r="E6" s="13">
        <v>44504</v>
      </c>
      <c r="F6" s="70" t="s">
        <v>169</v>
      </c>
      <c r="G6" s="13">
        <v>44507</v>
      </c>
      <c r="H6" s="71" t="s">
        <v>170</v>
      </c>
      <c r="I6" s="16">
        <v>54</v>
      </c>
      <c r="J6" s="16">
        <v>35</v>
      </c>
      <c r="K6" s="16">
        <v>12</v>
      </c>
      <c r="L6" s="16">
        <v>16</v>
      </c>
      <c r="M6" s="75">
        <v>5.67</v>
      </c>
      <c r="N6" s="66">
        <v>16</v>
      </c>
      <c r="O6" s="58">
        <v>7000</v>
      </c>
      <c r="P6" s="59">
        <f>Table2245789101123456789[[#This Row],[PEMBULATAN]]*O6</f>
        <v>112000</v>
      </c>
    </row>
    <row r="7" spans="1:16" ht="26.25" customHeight="1" x14ac:dyDescent="0.2">
      <c r="A7" s="14"/>
      <c r="B7" s="14"/>
      <c r="C7" s="67" t="s">
        <v>176</v>
      </c>
      <c r="D7" s="72" t="s">
        <v>59</v>
      </c>
      <c r="E7" s="13">
        <v>44504</v>
      </c>
      <c r="F7" s="70" t="s">
        <v>169</v>
      </c>
      <c r="G7" s="13">
        <v>44507</v>
      </c>
      <c r="H7" s="71" t="s">
        <v>170</v>
      </c>
      <c r="I7" s="16">
        <v>45</v>
      </c>
      <c r="J7" s="16">
        <v>35</v>
      </c>
      <c r="K7" s="16">
        <v>25</v>
      </c>
      <c r="L7" s="16">
        <v>6</v>
      </c>
      <c r="M7" s="75">
        <v>9.84375</v>
      </c>
      <c r="N7" s="90">
        <v>9.84375</v>
      </c>
      <c r="O7" s="58">
        <v>7000</v>
      </c>
      <c r="P7" s="59">
        <f>Table2245789101123456789[[#This Row],[PEMBULATAN]]*O7</f>
        <v>68906.25</v>
      </c>
    </row>
    <row r="8" spans="1:16" ht="26.25" customHeight="1" x14ac:dyDescent="0.2">
      <c r="A8" s="14"/>
      <c r="B8" s="14"/>
      <c r="C8" s="67" t="s">
        <v>177</v>
      </c>
      <c r="D8" s="72" t="s">
        <v>59</v>
      </c>
      <c r="E8" s="13">
        <v>44504</v>
      </c>
      <c r="F8" s="70" t="s">
        <v>169</v>
      </c>
      <c r="G8" s="13">
        <v>44507</v>
      </c>
      <c r="H8" s="71" t="s">
        <v>170</v>
      </c>
      <c r="I8" s="16">
        <v>62</v>
      </c>
      <c r="J8" s="16">
        <v>32</v>
      </c>
      <c r="K8" s="16">
        <v>32</v>
      </c>
      <c r="L8" s="16">
        <v>10</v>
      </c>
      <c r="M8" s="75">
        <v>15.872</v>
      </c>
      <c r="N8" s="90">
        <v>15.872</v>
      </c>
      <c r="O8" s="58">
        <v>7000</v>
      </c>
      <c r="P8" s="59">
        <f>Table2245789101123456789[[#This Row],[PEMBULATAN]]*O8</f>
        <v>111104</v>
      </c>
    </row>
    <row r="9" spans="1:16" ht="26.25" customHeight="1" x14ac:dyDescent="0.2">
      <c r="A9" s="14"/>
      <c r="B9" s="14"/>
      <c r="C9" s="67" t="s">
        <v>178</v>
      </c>
      <c r="D9" s="72" t="s">
        <v>59</v>
      </c>
      <c r="E9" s="13">
        <v>44504</v>
      </c>
      <c r="F9" s="70" t="s">
        <v>169</v>
      </c>
      <c r="G9" s="13">
        <v>44507</v>
      </c>
      <c r="H9" s="71" t="s">
        <v>170</v>
      </c>
      <c r="I9" s="16">
        <v>65</v>
      </c>
      <c r="J9" s="16">
        <v>52</v>
      </c>
      <c r="K9" s="16">
        <v>12</v>
      </c>
      <c r="L9" s="16">
        <v>20</v>
      </c>
      <c r="M9" s="75">
        <v>10.14</v>
      </c>
      <c r="N9" s="66">
        <v>20</v>
      </c>
      <c r="O9" s="58">
        <v>7000</v>
      </c>
      <c r="P9" s="59">
        <f>Table2245789101123456789[[#This Row],[PEMBULATAN]]*O9</f>
        <v>140000</v>
      </c>
    </row>
    <row r="10" spans="1:16" ht="26.25" customHeight="1" x14ac:dyDescent="0.2">
      <c r="A10" s="14"/>
      <c r="B10" s="14"/>
      <c r="C10" s="67" t="s">
        <v>179</v>
      </c>
      <c r="D10" s="72" t="s">
        <v>59</v>
      </c>
      <c r="E10" s="13">
        <v>44504</v>
      </c>
      <c r="F10" s="70" t="s">
        <v>169</v>
      </c>
      <c r="G10" s="13">
        <v>44507</v>
      </c>
      <c r="H10" s="71" t="s">
        <v>170</v>
      </c>
      <c r="I10" s="16">
        <v>50</v>
      </c>
      <c r="J10" s="16">
        <v>34</v>
      </c>
      <c r="K10" s="16">
        <v>36</v>
      </c>
      <c r="L10" s="16">
        <v>1</v>
      </c>
      <c r="M10" s="75">
        <v>15.3</v>
      </c>
      <c r="N10" s="66">
        <v>16</v>
      </c>
      <c r="O10" s="58">
        <v>7000</v>
      </c>
      <c r="P10" s="59">
        <f>Table2245789101123456789[[#This Row],[PEMBULATAN]]*O10</f>
        <v>112000</v>
      </c>
    </row>
    <row r="11" spans="1:16" ht="26.25" customHeight="1" x14ac:dyDescent="0.2">
      <c r="A11" s="14"/>
      <c r="B11" s="14"/>
      <c r="C11" s="67" t="s">
        <v>180</v>
      </c>
      <c r="D11" s="72" t="s">
        <v>59</v>
      </c>
      <c r="E11" s="13">
        <v>44504</v>
      </c>
      <c r="F11" s="70" t="s">
        <v>169</v>
      </c>
      <c r="G11" s="13">
        <v>44507</v>
      </c>
      <c r="H11" s="71" t="s">
        <v>170</v>
      </c>
      <c r="I11" s="16">
        <v>50</v>
      </c>
      <c r="J11" s="16">
        <v>45</v>
      </c>
      <c r="K11" s="16">
        <v>27</v>
      </c>
      <c r="L11" s="16">
        <v>8</v>
      </c>
      <c r="M11" s="75">
        <v>15.1875</v>
      </c>
      <c r="N11" s="90">
        <v>15.1875</v>
      </c>
      <c r="O11" s="58">
        <v>7000</v>
      </c>
      <c r="P11" s="59">
        <f>Table2245789101123456789[[#This Row],[PEMBULATAN]]*O11</f>
        <v>106312.5</v>
      </c>
    </row>
    <row r="12" spans="1:16" ht="26.25" customHeight="1" x14ac:dyDescent="0.2">
      <c r="A12" s="14"/>
      <c r="B12" s="14"/>
      <c r="C12" s="67" t="s">
        <v>181</v>
      </c>
      <c r="D12" s="72" t="s">
        <v>59</v>
      </c>
      <c r="E12" s="13">
        <v>44504</v>
      </c>
      <c r="F12" s="70" t="s">
        <v>169</v>
      </c>
      <c r="G12" s="13">
        <v>44507</v>
      </c>
      <c r="H12" s="71" t="s">
        <v>170</v>
      </c>
      <c r="I12" s="16">
        <v>45</v>
      </c>
      <c r="J12" s="16">
        <v>35</v>
      </c>
      <c r="K12" s="16">
        <v>35</v>
      </c>
      <c r="L12" s="16">
        <v>10</v>
      </c>
      <c r="M12" s="75">
        <v>13.78125</v>
      </c>
      <c r="N12" s="90">
        <v>13.78125</v>
      </c>
      <c r="O12" s="58">
        <v>7000</v>
      </c>
      <c r="P12" s="59">
        <f>Table2245789101123456789[[#This Row],[PEMBULATAN]]*O12</f>
        <v>96468.75</v>
      </c>
    </row>
    <row r="13" spans="1:16" ht="26.25" customHeight="1" x14ac:dyDescent="0.2">
      <c r="A13" s="14"/>
      <c r="B13" s="14"/>
      <c r="C13" s="67" t="s">
        <v>182</v>
      </c>
      <c r="D13" s="72" t="s">
        <v>59</v>
      </c>
      <c r="E13" s="13">
        <v>44504</v>
      </c>
      <c r="F13" s="70" t="s">
        <v>169</v>
      </c>
      <c r="G13" s="13">
        <v>44507</v>
      </c>
      <c r="H13" s="71" t="s">
        <v>170</v>
      </c>
      <c r="I13" s="16">
        <v>73</v>
      </c>
      <c r="J13" s="16">
        <v>35</v>
      </c>
      <c r="K13" s="16">
        <v>26</v>
      </c>
      <c r="L13" s="16">
        <v>10</v>
      </c>
      <c r="M13" s="75">
        <v>16.607500000000002</v>
      </c>
      <c r="N13" s="90">
        <v>16.607500000000002</v>
      </c>
      <c r="O13" s="58">
        <v>7000</v>
      </c>
      <c r="P13" s="59">
        <f>Table2245789101123456789[[#This Row],[PEMBULATAN]]*O13</f>
        <v>116252.50000000001</v>
      </c>
    </row>
    <row r="14" spans="1:16" ht="26.25" customHeight="1" x14ac:dyDescent="0.2">
      <c r="A14" s="14"/>
      <c r="B14" s="14"/>
      <c r="C14" s="67" t="s">
        <v>183</v>
      </c>
      <c r="D14" s="72" t="s">
        <v>59</v>
      </c>
      <c r="E14" s="13">
        <v>44504</v>
      </c>
      <c r="F14" s="70" t="s">
        <v>169</v>
      </c>
      <c r="G14" s="13">
        <v>44507</v>
      </c>
      <c r="H14" s="71" t="s">
        <v>170</v>
      </c>
      <c r="I14" s="16">
        <v>60</v>
      </c>
      <c r="J14" s="16">
        <v>55</v>
      </c>
      <c r="K14" s="16">
        <v>22</v>
      </c>
      <c r="L14" s="16">
        <v>11</v>
      </c>
      <c r="M14" s="75">
        <v>18.149999999999999</v>
      </c>
      <c r="N14" s="90">
        <v>18.149999999999999</v>
      </c>
      <c r="O14" s="58">
        <v>7000</v>
      </c>
      <c r="P14" s="59">
        <f>Table2245789101123456789[[#This Row],[PEMBULATAN]]*O14</f>
        <v>127049.99999999999</v>
      </c>
    </row>
    <row r="15" spans="1:16" ht="26.25" customHeight="1" x14ac:dyDescent="0.2">
      <c r="A15" s="14"/>
      <c r="B15" s="14"/>
      <c r="C15" s="67" t="s">
        <v>184</v>
      </c>
      <c r="D15" s="72" t="s">
        <v>59</v>
      </c>
      <c r="E15" s="13">
        <v>44504</v>
      </c>
      <c r="F15" s="70" t="s">
        <v>169</v>
      </c>
      <c r="G15" s="13">
        <v>44507</v>
      </c>
      <c r="H15" s="71" t="s">
        <v>170</v>
      </c>
      <c r="I15" s="16">
        <v>50</v>
      </c>
      <c r="J15" s="16">
        <v>40</v>
      </c>
      <c r="K15" s="16">
        <v>35</v>
      </c>
      <c r="L15" s="16">
        <v>11</v>
      </c>
      <c r="M15" s="75">
        <v>17.5</v>
      </c>
      <c r="N15" s="90">
        <v>17.5</v>
      </c>
      <c r="O15" s="58">
        <v>7000</v>
      </c>
      <c r="P15" s="59">
        <f>Table2245789101123456789[[#This Row],[PEMBULATAN]]*O15</f>
        <v>122500</v>
      </c>
    </row>
    <row r="16" spans="1:16" ht="26.25" customHeight="1" x14ac:dyDescent="0.2">
      <c r="A16" s="14"/>
      <c r="B16" s="14"/>
      <c r="C16" s="67" t="s">
        <v>185</v>
      </c>
      <c r="D16" s="72" t="s">
        <v>59</v>
      </c>
      <c r="E16" s="13">
        <v>44504</v>
      </c>
      <c r="F16" s="70" t="s">
        <v>169</v>
      </c>
      <c r="G16" s="13">
        <v>44507</v>
      </c>
      <c r="H16" s="71" t="s">
        <v>170</v>
      </c>
      <c r="I16" s="16">
        <v>50</v>
      </c>
      <c r="J16" s="16">
        <v>40</v>
      </c>
      <c r="K16" s="16">
        <v>35</v>
      </c>
      <c r="L16" s="16">
        <v>11</v>
      </c>
      <c r="M16" s="75">
        <v>17.5</v>
      </c>
      <c r="N16" s="90">
        <v>17.5</v>
      </c>
      <c r="O16" s="58">
        <v>7000</v>
      </c>
      <c r="P16" s="59">
        <f>Table2245789101123456789[[#This Row],[PEMBULATAN]]*O16</f>
        <v>122500</v>
      </c>
    </row>
    <row r="17" spans="1:16" ht="26.25" customHeight="1" x14ac:dyDescent="0.2">
      <c r="A17" s="14"/>
      <c r="B17" s="14"/>
      <c r="C17" s="67" t="s">
        <v>186</v>
      </c>
      <c r="D17" s="72" t="s">
        <v>59</v>
      </c>
      <c r="E17" s="13">
        <v>44504</v>
      </c>
      <c r="F17" s="70" t="s">
        <v>169</v>
      </c>
      <c r="G17" s="13">
        <v>44507</v>
      </c>
      <c r="H17" s="71" t="s">
        <v>170</v>
      </c>
      <c r="I17" s="16">
        <v>46</v>
      </c>
      <c r="J17" s="16">
        <v>46</v>
      </c>
      <c r="K17" s="16">
        <v>21</v>
      </c>
      <c r="L17" s="16">
        <v>7</v>
      </c>
      <c r="M17" s="75">
        <v>11.109</v>
      </c>
      <c r="N17" s="90">
        <v>11.109</v>
      </c>
      <c r="O17" s="58">
        <v>7000</v>
      </c>
      <c r="P17" s="59">
        <f>Table2245789101123456789[[#This Row],[PEMBULATAN]]*O17</f>
        <v>77763</v>
      </c>
    </row>
    <row r="18" spans="1:16" ht="26.25" customHeight="1" x14ac:dyDescent="0.2">
      <c r="A18" s="14"/>
      <c r="B18" s="14"/>
      <c r="C18" s="67" t="s">
        <v>187</v>
      </c>
      <c r="D18" s="72" t="s">
        <v>59</v>
      </c>
      <c r="E18" s="13">
        <v>44504</v>
      </c>
      <c r="F18" s="70" t="s">
        <v>169</v>
      </c>
      <c r="G18" s="13">
        <v>44507</v>
      </c>
      <c r="H18" s="71" t="s">
        <v>170</v>
      </c>
      <c r="I18" s="16">
        <v>55</v>
      </c>
      <c r="J18" s="16">
        <v>36</v>
      </c>
      <c r="K18" s="16">
        <v>16</v>
      </c>
      <c r="L18" s="16">
        <v>12</v>
      </c>
      <c r="M18" s="75">
        <v>7.92</v>
      </c>
      <c r="N18" s="66">
        <v>12</v>
      </c>
      <c r="O18" s="58">
        <v>7000</v>
      </c>
      <c r="P18" s="59">
        <f>Table2245789101123456789[[#This Row],[PEMBULATAN]]*O18</f>
        <v>84000</v>
      </c>
    </row>
    <row r="19" spans="1:16" ht="26.25" customHeight="1" x14ac:dyDescent="0.2">
      <c r="A19" s="14"/>
      <c r="B19" s="14"/>
      <c r="C19" s="67" t="s">
        <v>188</v>
      </c>
      <c r="D19" s="72" t="s">
        <v>59</v>
      </c>
      <c r="E19" s="13">
        <v>44504</v>
      </c>
      <c r="F19" s="70" t="s">
        <v>169</v>
      </c>
      <c r="G19" s="13">
        <v>44507</v>
      </c>
      <c r="H19" s="71" t="s">
        <v>170</v>
      </c>
      <c r="I19" s="16">
        <v>30</v>
      </c>
      <c r="J19" s="16">
        <v>27</v>
      </c>
      <c r="K19" s="16">
        <v>24</v>
      </c>
      <c r="L19" s="16">
        <v>6</v>
      </c>
      <c r="M19" s="75">
        <v>4.8600000000000003</v>
      </c>
      <c r="N19" s="66">
        <v>6</v>
      </c>
      <c r="O19" s="58">
        <v>7000</v>
      </c>
      <c r="P19" s="59">
        <f>Table2245789101123456789[[#This Row],[PEMBULATAN]]*O19</f>
        <v>42000</v>
      </c>
    </row>
    <row r="20" spans="1:16" ht="26.25" customHeight="1" x14ac:dyDescent="0.2">
      <c r="A20" s="14"/>
      <c r="B20" s="14"/>
      <c r="C20" s="67" t="s">
        <v>189</v>
      </c>
      <c r="D20" s="72" t="s">
        <v>59</v>
      </c>
      <c r="E20" s="13">
        <v>44504</v>
      </c>
      <c r="F20" s="70" t="s">
        <v>169</v>
      </c>
      <c r="G20" s="13">
        <v>44507</v>
      </c>
      <c r="H20" s="71" t="s">
        <v>170</v>
      </c>
      <c r="I20" s="16">
        <v>65</v>
      </c>
      <c r="J20" s="16">
        <v>42</v>
      </c>
      <c r="K20" s="16">
        <v>10</v>
      </c>
      <c r="L20" s="16">
        <v>9</v>
      </c>
      <c r="M20" s="75">
        <v>6.8250000000000002</v>
      </c>
      <c r="N20" s="66">
        <v>9</v>
      </c>
      <c r="O20" s="58">
        <v>7000</v>
      </c>
      <c r="P20" s="59">
        <f>Table2245789101123456789[[#This Row],[PEMBULATAN]]*O20</f>
        <v>63000</v>
      </c>
    </row>
    <row r="21" spans="1:16" ht="26.25" customHeight="1" x14ac:dyDescent="0.2">
      <c r="A21" s="14"/>
      <c r="B21" s="14"/>
      <c r="C21" s="67" t="s">
        <v>190</v>
      </c>
      <c r="D21" s="72" t="s">
        <v>59</v>
      </c>
      <c r="E21" s="13">
        <v>44504</v>
      </c>
      <c r="F21" s="70" t="s">
        <v>169</v>
      </c>
      <c r="G21" s="13">
        <v>44507</v>
      </c>
      <c r="H21" s="71" t="s">
        <v>170</v>
      </c>
      <c r="I21" s="16">
        <v>96</v>
      </c>
      <c r="J21" s="16">
        <v>52</v>
      </c>
      <c r="K21" s="16">
        <v>36</v>
      </c>
      <c r="L21" s="16">
        <v>40</v>
      </c>
      <c r="M21" s="75">
        <v>44.927999999999997</v>
      </c>
      <c r="N21" s="90">
        <v>44.927999999999997</v>
      </c>
      <c r="O21" s="58">
        <v>7000</v>
      </c>
      <c r="P21" s="59">
        <f>Table2245789101123456789[[#This Row],[PEMBULATAN]]*O21</f>
        <v>314496</v>
      </c>
    </row>
    <row r="22" spans="1:16" ht="26.25" customHeight="1" x14ac:dyDescent="0.2">
      <c r="A22" s="14"/>
      <c r="B22" s="14"/>
      <c r="C22" s="67" t="s">
        <v>191</v>
      </c>
      <c r="D22" s="72" t="s">
        <v>59</v>
      </c>
      <c r="E22" s="13">
        <v>44504</v>
      </c>
      <c r="F22" s="70" t="s">
        <v>169</v>
      </c>
      <c r="G22" s="13">
        <v>44507</v>
      </c>
      <c r="H22" s="71" t="s">
        <v>170</v>
      </c>
      <c r="I22" s="16">
        <v>72</v>
      </c>
      <c r="J22" s="16">
        <v>56</v>
      </c>
      <c r="K22" s="16">
        <v>50</v>
      </c>
      <c r="L22" s="16">
        <v>31</v>
      </c>
      <c r="M22" s="75">
        <v>50.4</v>
      </c>
      <c r="N22" s="90">
        <v>51</v>
      </c>
      <c r="O22" s="58">
        <v>7000</v>
      </c>
      <c r="P22" s="59">
        <f>Table2245789101123456789[[#This Row],[PEMBULATAN]]*O22</f>
        <v>357000</v>
      </c>
    </row>
    <row r="23" spans="1:16" ht="26.25" customHeight="1" x14ac:dyDescent="0.2">
      <c r="A23" s="14"/>
      <c r="B23" s="107"/>
      <c r="C23" s="67" t="s">
        <v>192</v>
      </c>
      <c r="D23" s="72" t="s">
        <v>59</v>
      </c>
      <c r="E23" s="13">
        <v>44504</v>
      </c>
      <c r="F23" s="70" t="s">
        <v>169</v>
      </c>
      <c r="G23" s="13">
        <v>44507</v>
      </c>
      <c r="H23" s="71" t="s">
        <v>170</v>
      </c>
      <c r="I23" s="16">
        <v>65</v>
      </c>
      <c r="J23" s="16">
        <v>55</v>
      </c>
      <c r="K23" s="16">
        <v>53</v>
      </c>
      <c r="L23" s="16">
        <v>40</v>
      </c>
      <c r="M23" s="75">
        <v>47.368749999999999</v>
      </c>
      <c r="N23" s="90">
        <v>48</v>
      </c>
      <c r="O23" s="58">
        <v>7000</v>
      </c>
      <c r="P23" s="59">
        <f>Table2245789101123456789[[#This Row],[PEMBULATAN]]*O23</f>
        <v>336000</v>
      </c>
    </row>
    <row r="24" spans="1:16" ht="26.25" customHeight="1" x14ac:dyDescent="0.2">
      <c r="A24" s="14"/>
      <c r="B24" s="108" t="s">
        <v>193</v>
      </c>
      <c r="C24" s="67" t="s">
        <v>194</v>
      </c>
      <c r="D24" s="72" t="s">
        <v>59</v>
      </c>
      <c r="E24" s="13">
        <v>44504</v>
      </c>
      <c r="F24" s="70" t="s">
        <v>169</v>
      </c>
      <c r="G24" s="13">
        <v>44507</v>
      </c>
      <c r="H24" s="71" t="s">
        <v>170</v>
      </c>
      <c r="I24" s="16">
        <v>45</v>
      </c>
      <c r="J24" s="16">
        <v>20</v>
      </c>
      <c r="K24" s="16">
        <v>12</v>
      </c>
      <c r="L24" s="16">
        <v>6</v>
      </c>
      <c r="M24" s="75">
        <v>2.7</v>
      </c>
      <c r="N24" s="90">
        <v>6</v>
      </c>
      <c r="O24" s="58">
        <v>7000</v>
      </c>
      <c r="P24" s="59">
        <f>Table2245789101123456789[[#This Row],[PEMBULATAN]]*O24</f>
        <v>42000</v>
      </c>
    </row>
    <row r="25" spans="1:16" ht="26.25" customHeight="1" x14ac:dyDescent="0.2">
      <c r="A25" s="14"/>
      <c r="B25" s="14" t="s">
        <v>195</v>
      </c>
      <c r="C25" s="67" t="s">
        <v>196</v>
      </c>
      <c r="D25" s="72" t="s">
        <v>59</v>
      </c>
      <c r="E25" s="13">
        <v>44504</v>
      </c>
      <c r="F25" s="70" t="s">
        <v>169</v>
      </c>
      <c r="G25" s="13">
        <v>44507</v>
      </c>
      <c r="H25" s="71" t="s">
        <v>170</v>
      </c>
      <c r="I25" s="16">
        <v>27</v>
      </c>
      <c r="J25" s="16">
        <v>24</v>
      </c>
      <c r="K25" s="16">
        <v>22</v>
      </c>
      <c r="L25" s="16">
        <v>3</v>
      </c>
      <c r="M25" s="75">
        <v>3.5640000000000001</v>
      </c>
      <c r="N25" s="90">
        <v>3.5640000000000001</v>
      </c>
      <c r="O25" s="58">
        <v>7000</v>
      </c>
      <c r="P25" s="59">
        <f>Table2245789101123456789[[#This Row],[PEMBULATAN]]*O25</f>
        <v>24948</v>
      </c>
    </row>
    <row r="26" spans="1:16" ht="26.25" customHeight="1" x14ac:dyDescent="0.2">
      <c r="A26" s="14"/>
      <c r="B26" s="14"/>
      <c r="C26" s="67" t="s">
        <v>197</v>
      </c>
      <c r="D26" s="72" t="s">
        <v>59</v>
      </c>
      <c r="E26" s="13">
        <v>44504</v>
      </c>
      <c r="F26" s="70" t="s">
        <v>169</v>
      </c>
      <c r="G26" s="13">
        <v>44507</v>
      </c>
      <c r="H26" s="71" t="s">
        <v>170</v>
      </c>
      <c r="I26" s="16">
        <v>45</v>
      </c>
      <c r="J26" s="16">
        <v>35</v>
      </c>
      <c r="K26" s="16">
        <v>12</v>
      </c>
      <c r="L26" s="16">
        <v>14</v>
      </c>
      <c r="M26" s="75">
        <v>4.7249999999999996</v>
      </c>
      <c r="N26" s="66">
        <v>14</v>
      </c>
      <c r="O26" s="58">
        <v>7000</v>
      </c>
      <c r="P26" s="59">
        <f>Table2245789101123456789[[#This Row],[PEMBULATAN]]*O26</f>
        <v>98000</v>
      </c>
    </row>
    <row r="27" spans="1:16" ht="26.25" customHeight="1" x14ac:dyDescent="0.2">
      <c r="A27" s="14"/>
      <c r="B27" s="14"/>
      <c r="C27" s="67" t="s">
        <v>198</v>
      </c>
      <c r="D27" s="72" t="s">
        <v>59</v>
      </c>
      <c r="E27" s="13">
        <v>44504</v>
      </c>
      <c r="F27" s="70" t="s">
        <v>169</v>
      </c>
      <c r="G27" s="13">
        <v>44507</v>
      </c>
      <c r="H27" s="71" t="s">
        <v>170</v>
      </c>
      <c r="I27" s="16">
        <v>50</v>
      </c>
      <c r="J27" s="16">
        <v>30</v>
      </c>
      <c r="K27" s="16">
        <v>25</v>
      </c>
      <c r="L27" s="16">
        <v>3</v>
      </c>
      <c r="M27" s="75">
        <v>9.375</v>
      </c>
      <c r="N27" s="66">
        <v>10</v>
      </c>
      <c r="O27" s="58">
        <v>7000</v>
      </c>
      <c r="P27" s="59">
        <f>Table2245789101123456789[[#This Row],[PEMBULATAN]]*O27</f>
        <v>70000</v>
      </c>
    </row>
    <row r="28" spans="1:16" ht="26.25" customHeight="1" x14ac:dyDescent="0.2">
      <c r="A28" s="14"/>
      <c r="B28" s="14"/>
      <c r="C28" s="67" t="s">
        <v>199</v>
      </c>
      <c r="D28" s="72" t="s">
        <v>59</v>
      </c>
      <c r="E28" s="13">
        <v>44504</v>
      </c>
      <c r="F28" s="70" t="s">
        <v>169</v>
      </c>
      <c r="G28" s="13">
        <v>44507</v>
      </c>
      <c r="H28" s="71" t="s">
        <v>170</v>
      </c>
      <c r="I28" s="16">
        <v>26</v>
      </c>
      <c r="J28" s="16">
        <v>24</v>
      </c>
      <c r="K28" s="16">
        <v>22</v>
      </c>
      <c r="L28" s="16">
        <v>7</v>
      </c>
      <c r="M28" s="75">
        <v>3.4319999999999999</v>
      </c>
      <c r="N28" s="66">
        <v>7</v>
      </c>
      <c r="O28" s="58">
        <v>7000</v>
      </c>
      <c r="P28" s="59">
        <f>Table2245789101123456789[[#This Row],[PEMBULATAN]]*O28</f>
        <v>49000</v>
      </c>
    </row>
    <row r="29" spans="1:16" ht="26.25" customHeight="1" x14ac:dyDescent="0.2">
      <c r="A29" s="14"/>
      <c r="B29" s="14"/>
      <c r="C29" s="67" t="s">
        <v>200</v>
      </c>
      <c r="D29" s="72" t="s">
        <v>59</v>
      </c>
      <c r="E29" s="13">
        <v>44504</v>
      </c>
      <c r="F29" s="70" t="s">
        <v>169</v>
      </c>
      <c r="G29" s="13">
        <v>44507</v>
      </c>
      <c r="H29" s="71" t="s">
        <v>170</v>
      </c>
      <c r="I29" s="16">
        <v>26</v>
      </c>
      <c r="J29" s="16">
        <v>24</v>
      </c>
      <c r="K29" s="16">
        <v>22</v>
      </c>
      <c r="L29" s="16">
        <v>7</v>
      </c>
      <c r="M29" s="75">
        <v>3.4319999999999999</v>
      </c>
      <c r="N29" s="66">
        <v>7</v>
      </c>
      <c r="O29" s="58">
        <v>7000</v>
      </c>
      <c r="P29" s="59">
        <f>Table2245789101123456789[[#This Row],[PEMBULATAN]]*O29</f>
        <v>49000</v>
      </c>
    </row>
    <row r="30" spans="1:16" ht="26.25" customHeight="1" x14ac:dyDescent="0.2">
      <c r="A30" s="14"/>
      <c r="B30" s="14"/>
      <c r="C30" s="67" t="s">
        <v>201</v>
      </c>
      <c r="D30" s="72" t="s">
        <v>59</v>
      </c>
      <c r="E30" s="13">
        <v>44504</v>
      </c>
      <c r="F30" s="70" t="s">
        <v>169</v>
      </c>
      <c r="G30" s="13">
        <v>44507</v>
      </c>
      <c r="H30" s="71" t="s">
        <v>170</v>
      </c>
      <c r="I30" s="16">
        <v>36</v>
      </c>
      <c r="J30" s="16">
        <v>36</v>
      </c>
      <c r="K30" s="16">
        <v>24</v>
      </c>
      <c r="L30" s="16">
        <v>12</v>
      </c>
      <c r="M30" s="75">
        <v>7.7759999999999998</v>
      </c>
      <c r="N30" s="66">
        <v>12</v>
      </c>
      <c r="O30" s="58">
        <v>7000</v>
      </c>
      <c r="P30" s="59">
        <f>Table2245789101123456789[[#This Row],[PEMBULATAN]]*O30</f>
        <v>84000</v>
      </c>
    </row>
    <row r="31" spans="1:16" ht="26.25" customHeight="1" x14ac:dyDescent="0.2">
      <c r="A31" s="14"/>
      <c r="B31" s="14"/>
      <c r="C31" s="67" t="s">
        <v>202</v>
      </c>
      <c r="D31" s="72" t="s">
        <v>59</v>
      </c>
      <c r="E31" s="13">
        <v>44504</v>
      </c>
      <c r="F31" s="70" t="s">
        <v>169</v>
      </c>
      <c r="G31" s="13">
        <v>44507</v>
      </c>
      <c r="H31" s="71" t="s">
        <v>170</v>
      </c>
      <c r="I31" s="16">
        <v>43</v>
      </c>
      <c r="J31" s="16">
        <v>35</v>
      </c>
      <c r="K31" s="16">
        <v>30</v>
      </c>
      <c r="L31" s="16">
        <v>8</v>
      </c>
      <c r="M31" s="75">
        <v>11.2875</v>
      </c>
      <c r="N31" s="90">
        <v>11.2875</v>
      </c>
      <c r="O31" s="58">
        <v>7000</v>
      </c>
      <c r="P31" s="59">
        <f>Table2245789101123456789[[#This Row],[PEMBULATAN]]*O31</f>
        <v>79012.5</v>
      </c>
    </row>
    <row r="32" spans="1:16" ht="26.25" customHeight="1" x14ac:dyDescent="0.2">
      <c r="A32" s="14"/>
      <c r="B32" s="14"/>
      <c r="C32" s="67" t="s">
        <v>203</v>
      </c>
      <c r="D32" s="72" t="s">
        <v>59</v>
      </c>
      <c r="E32" s="13">
        <v>44504</v>
      </c>
      <c r="F32" s="70" t="s">
        <v>169</v>
      </c>
      <c r="G32" s="13">
        <v>44507</v>
      </c>
      <c r="H32" s="71" t="s">
        <v>170</v>
      </c>
      <c r="I32" s="16">
        <v>31</v>
      </c>
      <c r="J32" s="16">
        <v>24</v>
      </c>
      <c r="K32" s="16">
        <v>18</v>
      </c>
      <c r="L32" s="16">
        <v>7</v>
      </c>
      <c r="M32" s="75">
        <v>3.3479999999999999</v>
      </c>
      <c r="N32" s="66">
        <v>7</v>
      </c>
      <c r="O32" s="58">
        <v>7000</v>
      </c>
      <c r="P32" s="59">
        <f>Table2245789101123456789[[#This Row],[PEMBULATAN]]*O32</f>
        <v>49000</v>
      </c>
    </row>
    <row r="33" spans="1:16" ht="26.25" customHeight="1" x14ac:dyDescent="0.2">
      <c r="A33" s="14"/>
      <c r="B33" s="14"/>
      <c r="C33" s="67" t="s">
        <v>204</v>
      </c>
      <c r="D33" s="72" t="s">
        <v>59</v>
      </c>
      <c r="E33" s="13">
        <v>44504</v>
      </c>
      <c r="F33" s="70" t="s">
        <v>169</v>
      </c>
      <c r="G33" s="13">
        <v>44507</v>
      </c>
      <c r="H33" s="71" t="s">
        <v>170</v>
      </c>
      <c r="I33" s="16">
        <v>48</v>
      </c>
      <c r="J33" s="16">
        <v>30</v>
      </c>
      <c r="K33" s="16">
        <v>25</v>
      </c>
      <c r="L33" s="16">
        <v>3</v>
      </c>
      <c r="M33" s="75">
        <v>9</v>
      </c>
      <c r="N33" s="66">
        <v>9</v>
      </c>
      <c r="O33" s="58">
        <v>7000</v>
      </c>
      <c r="P33" s="59">
        <f>Table2245789101123456789[[#This Row],[PEMBULATAN]]*O33</f>
        <v>63000</v>
      </c>
    </row>
    <row r="34" spans="1:16" ht="26.25" customHeight="1" x14ac:dyDescent="0.2">
      <c r="A34" s="14"/>
      <c r="B34" s="14"/>
      <c r="C34" s="67" t="s">
        <v>205</v>
      </c>
      <c r="D34" s="72" t="s">
        <v>59</v>
      </c>
      <c r="E34" s="13">
        <v>44504</v>
      </c>
      <c r="F34" s="70" t="s">
        <v>169</v>
      </c>
      <c r="G34" s="13">
        <v>44507</v>
      </c>
      <c r="H34" s="71" t="s">
        <v>170</v>
      </c>
      <c r="I34" s="16">
        <v>20</v>
      </c>
      <c r="J34" s="16">
        <v>14</v>
      </c>
      <c r="K34" s="16">
        <v>11</v>
      </c>
      <c r="L34" s="16">
        <v>3</v>
      </c>
      <c r="M34" s="75">
        <v>0.77</v>
      </c>
      <c r="N34" s="66">
        <v>3</v>
      </c>
      <c r="O34" s="58">
        <v>7000</v>
      </c>
      <c r="P34" s="59">
        <f>Table2245789101123456789[[#This Row],[PEMBULATAN]]*O34</f>
        <v>21000</v>
      </c>
    </row>
    <row r="35" spans="1:16" ht="26.25" customHeight="1" x14ac:dyDescent="0.2">
      <c r="A35" s="14"/>
      <c r="B35" s="14"/>
      <c r="C35" s="67" t="s">
        <v>206</v>
      </c>
      <c r="D35" s="72" t="s">
        <v>59</v>
      </c>
      <c r="E35" s="13">
        <v>44504</v>
      </c>
      <c r="F35" s="70" t="s">
        <v>169</v>
      </c>
      <c r="G35" s="13">
        <v>44507</v>
      </c>
      <c r="H35" s="71" t="s">
        <v>170</v>
      </c>
      <c r="I35" s="16">
        <v>28</v>
      </c>
      <c r="J35" s="16">
        <v>25</v>
      </c>
      <c r="K35" s="16">
        <v>10</v>
      </c>
      <c r="L35" s="16">
        <v>3</v>
      </c>
      <c r="M35" s="75">
        <v>1.75</v>
      </c>
      <c r="N35" s="66">
        <v>3</v>
      </c>
      <c r="O35" s="58">
        <v>7000</v>
      </c>
      <c r="P35" s="59">
        <f>Table2245789101123456789[[#This Row],[PEMBULATAN]]*O35</f>
        <v>21000</v>
      </c>
    </row>
    <row r="36" spans="1:16" ht="26.25" customHeight="1" x14ac:dyDescent="0.2">
      <c r="A36" s="14"/>
      <c r="B36" s="14"/>
      <c r="C36" s="67" t="s">
        <v>207</v>
      </c>
      <c r="D36" s="72" t="s">
        <v>59</v>
      </c>
      <c r="E36" s="13">
        <v>44504</v>
      </c>
      <c r="F36" s="70" t="s">
        <v>169</v>
      </c>
      <c r="G36" s="13">
        <v>44507</v>
      </c>
      <c r="H36" s="71" t="s">
        <v>170</v>
      </c>
      <c r="I36" s="16">
        <v>28</v>
      </c>
      <c r="J36" s="16">
        <v>25</v>
      </c>
      <c r="K36" s="16">
        <v>10</v>
      </c>
      <c r="L36" s="16">
        <v>3</v>
      </c>
      <c r="M36" s="75">
        <v>1.75</v>
      </c>
      <c r="N36" s="66">
        <v>3</v>
      </c>
      <c r="O36" s="58">
        <v>7000</v>
      </c>
      <c r="P36" s="59">
        <f>Table2245789101123456789[[#This Row],[PEMBULATAN]]*O36</f>
        <v>21000</v>
      </c>
    </row>
    <row r="37" spans="1:16" ht="26.25" customHeight="1" x14ac:dyDescent="0.2">
      <c r="A37" s="14"/>
      <c r="B37" s="14"/>
      <c r="C37" s="67" t="s">
        <v>208</v>
      </c>
      <c r="D37" s="72" t="s">
        <v>59</v>
      </c>
      <c r="E37" s="13">
        <v>44504</v>
      </c>
      <c r="F37" s="70" t="s">
        <v>169</v>
      </c>
      <c r="G37" s="13">
        <v>44507</v>
      </c>
      <c r="H37" s="71" t="s">
        <v>170</v>
      </c>
      <c r="I37" s="16">
        <v>98</v>
      </c>
      <c r="J37" s="16">
        <v>65</v>
      </c>
      <c r="K37" s="16">
        <v>16</v>
      </c>
      <c r="L37" s="16">
        <v>12</v>
      </c>
      <c r="M37" s="75">
        <v>25.48</v>
      </c>
      <c r="N37" s="66">
        <v>26</v>
      </c>
      <c r="O37" s="58">
        <v>7000</v>
      </c>
      <c r="P37" s="59">
        <f>Table2245789101123456789[[#This Row],[PEMBULATAN]]*O37</f>
        <v>182000</v>
      </c>
    </row>
    <row r="38" spans="1:16" ht="26.25" customHeight="1" x14ac:dyDescent="0.2">
      <c r="A38" s="14"/>
      <c r="B38" s="14"/>
      <c r="C38" s="67" t="s">
        <v>209</v>
      </c>
      <c r="D38" s="72" t="s">
        <v>59</v>
      </c>
      <c r="E38" s="13">
        <v>44504</v>
      </c>
      <c r="F38" s="70" t="s">
        <v>169</v>
      </c>
      <c r="G38" s="13">
        <v>44507</v>
      </c>
      <c r="H38" s="71" t="s">
        <v>170</v>
      </c>
      <c r="I38" s="16">
        <v>98</v>
      </c>
      <c r="J38" s="16">
        <v>65</v>
      </c>
      <c r="K38" s="16">
        <v>16</v>
      </c>
      <c r="L38" s="16">
        <v>12</v>
      </c>
      <c r="M38" s="75">
        <v>25.48</v>
      </c>
      <c r="N38" s="66">
        <v>26</v>
      </c>
      <c r="O38" s="58">
        <v>7000</v>
      </c>
      <c r="P38" s="59">
        <f>Table2245789101123456789[[#This Row],[PEMBULATAN]]*O38</f>
        <v>182000</v>
      </c>
    </row>
    <row r="39" spans="1:16" ht="22.5" customHeight="1" x14ac:dyDescent="0.2">
      <c r="A39" s="145" t="s">
        <v>30</v>
      </c>
      <c r="B39" s="146"/>
      <c r="C39" s="146"/>
      <c r="D39" s="146"/>
      <c r="E39" s="146"/>
      <c r="F39" s="146"/>
      <c r="G39" s="146"/>
      <c r="H39" s="146"/>
      <c r="I39" s="146"/>
      <c r="J39" s="146"/>
      <c r="K39" s="146"/>
      <c r="L39" s="147"/>
      <c r="M39" s="73">
        <f>SUBTOTAL(109,Table2245789101123456789[KG VOLUME])</f>
        <v>478.42600000000004</v>
      </c>
      <c r="N39" s="62">
        <f>SUM(N3:N38)</f>
        <v>546.08050000000003</v>
      </c>
      <c r="O39" s="148">
        <f>SUM(P3:P38)</f>
        <v>3822563.5</v>
      </c>
      <c r="P39" s="149"/>
    </row>
    <row r="40" spans="1:16" ht="18" customHeight="1" x14ac:dyDescent="0.2">
      <c r="A40" s="80"/>
      <c r="B40" s="50" t="s">
        <v>42</v>
      </c>
      <c r="C40" s="49"/>
      <c r="D40" s="51" t="s">
        <v>43</v>
      </c>
      <c r="E40" s="80"/>
      <c r="F40" s="80"/>
      <c r="G40" s="80"/>
      <c r="H40" s="80"/>
      <c r="I40" s="80"/>
      <c r="J40" s="80"/>
      <c r="K40" s="80"/>
      <c r="L40" s="80"/>
      <c r="M40" s="81"/>
      <c r="N40" s="82" t="s">
        <v>52</v>
      </c>
      <c r="O40" s="83"/>
      <c r="P40" s="83">
        <v>0</v>
      </c>
    </row>
    <row r="41" spans="1:16" ht="18" customHeight="1" thickBot="1" x14ac:dyDescent="0.25">
      <c r="A41" s="80"/>
      <c r="B41" s="50"/>
      <c r="C41" s="49"/>
      <c r="D41" s="51"/>
      <c r="E41" s="80"/>
      <c r="F41" s="80"/>
      <c r="G41" s="80"/>
      <c r="H41" s="80"/>
      <c r="I41" s="80"/>
      <c r="J41" s="80"/>
      <c r="K41" s="80"/>
      <c r="L41" s="80"/>
      <c r="M41" s="81"/>
      <c r="N41" s="84" t="s">
        <v>53</v>
      </c>
      <c r="O41" s="85"/>
      <c r="P41" s="85">
        <f>O39-P40</f>
        <v>3822563.5</v>
      </c>
    </row>
    <row r="42" spans="1:16" ht="18" customHeight="1" x14ac:dyDescent="0.2">
      <c r="A42" s="11"/>
      <c r="H42" s="57"/>
      <c r="N42" s="56" t="s">
        <v>31</v>
      </c>
      <c r="P42" s="63">
        <f>P41*1%</f>
        <v>38225.635000000002</v>
      </c>
    </row>
    <row r="43" spans="1:16" ht="18" customHeight="1" thickBot="1" x14ac:dyDescent="0.25">
      <c r="A43" s="11"/>
      <c r="H43" s="57"/>
      <c r="N43" s="56" t="s">
        <v>54</v>
      </c>
      <c r="P43" s="65">
        <f>P41*2%</f>
        <v>76451.27</v>
      </c>
    </row>
    <row r="44" spans="1:16" ht="18" customHeight="1" x14ac:dyDescent="0.2">
      <c r="A44" s="11"/>
      <c r="H44" s="57"/>
      <c r="N44" s="60" t="s">
        <v>32</v>
      </c>
      <c r="O44" s="61"/>
      <c r="P44" s="64">
        <f>P41+P42-P43</f>
        <v>3784337.8649999998</v>
      </c>
    </row>
    <row r="46" spans="1:16" x14ac:dyDescent="0.2">
      <c r="A46" s="11"/>
      <c r="H46" s="57"/>
      <c r="P46" s="65"/>
    </row>
    <row r="47" spans="1:16" x14ac:dyDescent="0.2">
      <c r="A47" s="11"/>
      <c r="H47" s="57"/>
      <c r="O47" s="52"/>
      <c r="P47" s="65"/>
    </row>
    <row r="48" spans="1:16" s="3" customFormat="1" x14ac:dyDescent="0.25">
      <c r="A48" s="11"/>
      <c r="B48" s="2"/>
      <c r="C48" s="2"/>
      <c r="E48" s="12"/>
      <c r="H48" s="57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57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57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57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57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57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57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57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57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57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57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57"/>
      <c r="N59" s="15"/>
      <c r="O59" s="15"/>
      <c r="P59" s="15"/>
    </row>
  </sheetData>
  <mergeCells count="2">
    <mergeCell ref="A39:L39"/>
    <mergeCell ref="O39:P39"/>
  </mergeCells>
  <conditionalFormatting sqref="B3">
    <cfRule type="duplicateValues" dxfId="578" priority="2"/>
  </conditionalFormatting>
  <conditionalFormatting sqref="B4">
    <cfRule type="duplicateValues" dxfId="577" priority="1"/>
  </conditionalFormatting>
  <conditionalFormatting sqref="B5:B38">
    <cfRule type="duplicateValues" dxfId="576" priority="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39</vt:i4>
      </vt:variant>
    </vt:vector>
  </HeadingPairs>
  <TitlesOfParts>
    <vt:vector size="81" baseType="lpstr">
      <vt:lpstr>039_Sicepat_Batam</vt:lpstr>
      <vt:lpstr>403451</vt:lpstr>
      <vt:lpstr>402442</vt:lpstr>
      <vt:lpstr>402447</vt:lpstr>
      <vt:lpstr>402320</vt:lpstr>
      <vt:lpstr>403936</vt:lpstr>
      <vt:lpstr>402325</vt:lpstr>
      <vt:lpstr>403282</vt:lpstr>
      <vt:lpstr>402326</vt:lpstr>
      <vt:lpstr>404008</vt:lpstr>
      <vt:lpstr>402331</vt:lpstr>
      <vt:lpstr>404010</vt:lpstr>
      <vt:lpstr>402334</vt:lpstr>
      <vt:lpstr>404015</vt:lpstr>
      <vt:lpstr>402338</vt:lpstr>
      <vt:lpstr>404016</vt:lpstr>
      <vt:lpstr>402324</vt:lpstr>
      <vt:lpstr>404018</vt:lpstr>
      <vt:lpstr>402346</vt:lpstr>
      <vt:lpstr>404020</vt:lpstr>
      <vt:lpstr>402349</vt:lpstr>
      <vt:lpstr>404022</vt:lpstr>
      <vt:lpstr>403854</vt:lpstr>
      <vt:lpstr>403940</vt:lpstr>
      <vt:lpstr>403858</vt:lpstr>
      <vt:lpstr>403860</vt:lpstr>
      <vt:lpstr>403942</vt:lpstr>
      <vt:lpstr>403864</vt:lpstr>
      <vt:lpstr>403866</vt:lpstr>
      <vt:lpstr>403211</vt:lpstr>
      <vt:lpstr>403870</vt:lpstr>
      <vt:lpstr>404025</vt:lpstr>
      <vt:lpstr>403872</vt:lpstr>
      <vt:lpstr>403214</vt:lpstr>
      <vt:lpstr>403874</vt:lpstr>
      <vt:lpstr>406053</vt:lpstr>
      <vt:lpstr>403876</vt:lpstr>
      <vt:lpstr>403217</vt:lpstr>
      <vt:lpstr>403882</vt:lpstr>
      <vt:lpstr>404029</vt:lpstr>
      <vt:lpstr>403888</vt:lpstr>
      <vt:lpstr>403894</vt:lpstr>
      <vt:lpstr>'039_Sicepat_Batam'!Print_Titles</vt:lpstr>
      <vt:lpstr>'402320'!Print_Titles</vt:lpstr>
      <vt:lpstr>'402324'!Print_Titles</vt:lpstr>
      <vt:lpstr>'402325'!Print_Titles</vt:lpstr>
      <vt:lpstr>'402326'!Print_Titles</vt:lpstr>
      <vt:lpstr>'402331'!Print_Titles</vt:lpstr>
      <vt:lpstr>'402334'!Print_Titles</vt:lpstr>
      <vt:lpstr>'402338'!Print_Titles</vt:lpstr>
      <vt:lpstr>'402346'!Print_Titles</vt:lpstr>
      <vt:lpstr>'402349'!Print_Titles</vt:lpstr>
      <vt:lpstr>'402442'!Print_Titles</vt:lpstr>
      <vt:lpstr>'402447'!Print_Titles</vt:lpstr>
      <vt:lpstr>'403211'!Print_Titles</vt:lpstr>
      <vt:lpstr>'403214'!Print_Titles</vt:lpstr>
      <vt:lpstr>'403282'!Print_Titles</vt:lpstr>
      <vt:lpstr>'403451'!Print_Titles</vt:lpstr>
      <vt:lpstr>'403854'!Print_Titles</vt:lpstr>
      <vt:lpstr>'403858'!Print_Titles</vt:lpstr>
      <vt:lpstr>'403860'!Print_Titles</vt:lpstr>
      <vt:lpstr>'403864'!Print_Titles</vt:lpstr>
      <vt:lpstr>'403866'!Print_Titles</vt:lpstr>
      <vt:lpstr>'403870'!Print_Titles</vt:lpstr>
      <vt:lpstr>'403872'!Print_Titles</vt:lpstr>
      <vt:lpstr>'403874'!Print_Titles</vt:lpstr>
      <vt:lpstr>'403876'!Print_Titles</vt:lpstr>
      <vt:lpstr>'403882'!Print_Titles</vt:lpstr>
      <vt:lpstr>'403888'!Print_Titles</vt:lpstr>
      <vt:lpstr>'403894'!Print_Titles</vt:lpstr>
      <vt:lpstr>'403936'!Print_Titles</vt:lpstr>
      <vt:lpstr>'403940'!Print_Titles</vt:lpstr>
      <vt:lpstr>'403942'!Print_Titles</vt:lpstr>
      <vt:lpstr>'404008'!Print_Titles</vt:lpstr>
      <vt:lpstr>'404010'!Print_Titles</vt:lpstr>
      <vt:lpstr>'404015'!Print_Titles</vt:lpstr>
      <vt:lpstr>'404016'!Print_Titles</vt:lpstr>
      <vt:lpstr>'404018'!Print_Titles</vt:lpstr>
      <vt:lpstr>'404020'!Print_Titles</vt:lpstr>
      <vt:lpstr>'404022'!Print_Titles</vt:lpstr>
      <vt:lpstr>'404025'!Print_Titles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2021-12-03T07:06:46Z</cp:lastPrinted>
  <dcterms:created xsi:type="dcterms:W3CDTF">2021-07-02T11:08:00Z</dcterms:created>
  <dcterms:modified xsi:type="dcterms:W3CDTF">2021-12-06T08:16:06Z</dcterms:modified>
</cp:coreProperties>
</file>