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4240" windowHeight="13740" tabRatio="842"/>
  </bookViews>
  <sheets>
    <sheet name="42_Sicepat_Tj Pandan" sheetId="2" r:id="rId1"/>
    <sheet name="402241" sheetId="26" r:id="rId2"/>
    <sheet name="402544" sheetId="57" r:id="rId3"/>
    <sheet name="401489" sheetId="58" r:id="rId4"/>
    <sheet name="401493" sheetId="59" r:id="rId5"/>
    <sheet name="402246" sheetId="60" r:id="rId6"/>
    <sheet name="402249" sheetId="61" r:id="rId7"/>
    <sheet name="402425" sheetId="62" r:id="rId8"/>
    <sheet name="402435" sheetId="63" r:id="rId9"/>
    <sheet name="402438" sheetId="64" r:id="rId10"/>
    <sheet name="402307" sheetId="65" r:id="rId11"/>
    <sheet name="402312" sheetId="66" r:id="rId12"/>
    <sheet name="402317" sheetId="67" r:id="rId13"/>
  </sheets>
  <definedNames>
    <definedName name="_xlnm.Print_Titles" localSheetId="3">'401489'!$2:$2</definedName>
    <definedName name="_xlnm.Print_Titles" localSheetId="1">'402241'!$2:$2</definedName>
    <definedName name="_xlnm.Print_Titles" localSheetId="2">'402544'!$2:$2</definedName>
    <definedName name="_xlnm.Print_Titles" localSheetId="0">'42_Sicepat_Tj Pandan'!$2:$17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2" l="1"/>
  <c r="O21" i="67"/>
  <c r="N21" i="67"/>
  <c r="O12" i="66"/>
  <c r="N12" i="66"/>
  <c r="O10" i="65"/>
  <c r="N10" i="65"/>
  <c r="O4" i="64"/>
  <c r="N4" i="64"/>
  <c r="O6" i="63"/>
  <c r="N6" i="63"/>
  <c r="O6" i="62"/>
  <c r="N6" i="62"/>
  <c r="O9" i="61"/>
  <c r="N9" i="61"/>
  <c r="O18" i="60"/>
  <c r="N18" i="60"/>
  <c r="O6" i="59"/>
  <c r="N6" i="59"/>
  <c r="O14" i="58"/>
  <c r="N14" i="58"/>
  <c r="O10" i="57"/>
  <c r="N10" i="57"/>
  <c r="O20" i="26"/>
  <c r="N20" i="26"/>
  <c r="G29" i="2" l="1"/>
  <c r="C29" i="2"/>
  <c r="B29" i="2"/>
  <c r="J28" i="2"/>
  <c r="C28" i="2"/>
  <c r="B28" i="2"/>
  <c r="G27" i="2"/>
  <c r="J27" i="2" s="1"/>
  <c r="C27" i="2"/>
  <c r="B27" i="2"/>
  <c r="J26" i="2"/>
  <c r="C26" i="2"/>
  <c r="B26" i="2"/>
  <c r="C25" i="2"/>
  <c r="B25" i="2"/>
  <c r="G24" i="2"/>
  <c r="J24" i="2" s="1"/>
  <c r="B24" i="2"/>
  <c r="C24" i="2"/>
  <c r="G23" i="2"/>
  <c r="J23" i="2" s="1"/>
  <c r="C23" i="2"/>
  <c r="B23" i="2"/>
  <c r="G22" i="2"/>
  <c r="J22" i="2" s="1"/>
  <c r="B22" i="2"/>
  <c r="C22" i="2"/>
  <c r="G20" i="2"/>
  <c r="G19" i="2"/>
  <c r="G18" i="2"/>
  <c r="G21" i="2"/>
  <c r="J21" i="2" s="1"/>
  <c r="C21" i="2"/>
  <c r="B21" i="2"/>
  <c r="J29" i="2"/>
  <c r="J25" i="2"/>
  <c r="P15" i="67" l="1"/>
  <c r="P14" i="67"/>
  <c r="P13" i="67"/>
  <c r="P12" i="67"/>
  <c r="P11" i="67"/>
  <c r="P10" i="67"/>
  <c r="P9" i="67"/>
  <c r="P8" i="67"/>
  <c r="P7" i="67"/>
  <c r="P6" i="67"/>
  <c r="P5" i="67"/>
  <c r="P4" i="67"/>
  <c r="P20" i="67"/>
  <c r="P19" i="67"/>
  <c r="P18" i="67"/>
  <c r="P17" i="67"/>
  <c r="P16" i="67"/>
  <c r="P11" i="66"/>
  <c r="P10" i="66"/>
  <c r="P9" i="66"/>
  <c r="P8" i="66"/>
  <c r="P7" i="66"/>
  <c r="P6" i="66"/>
  <c r="P5" i="66"/>
  <c r="P4" i="66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13" i="58"/>
  <c r="P12" i="58"/>
  <c r="P11" i="58"/>
  <c r="P10" i="58"/>
  <c r="P9" i="58"/>
  <c r="P8" i="58"/>
  <c r="P7" i="58"/>
  <c r="P6" i="58"/>
  <c r="P5" i="58"/>
  <c r="P4" i="58"/>
  <c r="M21" i="67"/>
  <c r="P3" i="67"/>
  <c r="M12" i="66"/>
  <c r="P3" i="66"/>
  <c r="M10" i="65"/>
  <c r="P9" i="65"/>
  <c r="P8" i="65"/>
  <c r="P7" i="65"/>
  <c r="P6" i="65"/>
  <c r="P5" i="65"/>
  <c r="P4" i="65"/>
  <c r="P3" i="65"/>
  <c r="M4" i="64"/>
  <c r="P3" i="64"/>
  <c r="M6" i="63"/>
  <c r="P5" i="63"/>
  <c r="P4" i="63"/>
  <c r="P3" i="63"/>
  <c r="M6" i="62"/>
  <c r="P5" i="62"/>
  <c r="P4" i="62"/>
  <c r="P3" i="62"/>
  <c r="M9" i="61"/>
  <c r="P8" i="61"/>
  <c r="P7" i="61"/>
  <c r="P6" i="61"/>
  <c r="P5" i="61"/>
  <c r="P4" i="61"/>
  <c r="P3" i="61"/>
  <c r="M18" i="60"/>
  <c r="P3" i="60"/>
  <c r="M6" i="59"/>
  <c r="P5" i="59"/>
  <c r="P4" i="59"/>
  <c r="P3" i="59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11" i="65" l="1"/>
  <c r="P12" i="65" s="1"/>
  <c r="P7" i="63"/>
  <c r="P8" i="63" s="1"/>
  <c r="P22" i="67"/>
  <c r="P23" i="67" s="1"/>
  <c r="P13" i="66"/>
  <c r="P14" i="66" s="1"/>
  <c r="P7" i="62"/>
  <c r="P8" i="62" s="1"/>
  <c r="P10" i="61"/>
  <c r="P11" i="61" s="1"/>
  <c r="P19" i="60"/>
  <c r="P20" i="60" s="1"/>
  <c r="P7" i="59"/>
  <c r="P8" i="59" s="1"/>
  <c r="P5" i="64"/>
  <c r="P6" i="64" s="1"/>
  <c r="P25" i="67" l="1"/>
  <c r="P24" i="67"/>
  <c r="P16" i="66"/>
  <c r="P15" i="66"/>
  <c r="P14" i="65"/>
  <c r="P13" i="65"/>
  <c r="P8" i="64"/>
  <c r="P7" i="64"/>
  <c r="P10" i="63"/>
  <c r="P9" i="63"/>
  <c r="P10" i="62"/>
  <c r="P9" i="62"/>
  <c r="P13" i="61"/>
  <c r="P12" i="61"/>
  <c r="P22" i="60"/>
  <c r="P21" i="60"/>
  <c r="P10" i="59"/>
  <c r="P9" i="59"/>
  <c r="P26" i="67" l="1"/>
  <c r="P17" i="66"/>
  <c r="P15" i="65"/>
  <c r="P9" i="64"/>
  <c r="P11" i="63"/>
  <c r="P11" i="62"/>
  <c r="P14" i="61"/>
  <c r="P23" i="60"/>
  <c r="P11" i="59"/>
  <c r="B18" i="2" l="1"/>
  <c r="C18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19" i="2"/>
  <c r="C19" i="2"/>
  <c r="B20" i="2"/>
  <c r="C20" i="2"/>
  <c r="M14" i="58" l="1"/>
  <c r="P3" i="58"/>
  <c r="M10" i="57"/>
  <c r="P9" i="57"/>
  <c r="P8" i="57"/>
  <c r="P7" i="57"/>
  <c r="P6" i="57"/>
  <c r="P5" i="57"/>
  <c r="P4" i="57"/>
  <c r="P3" i="57"/>
  <c r="P11" i="57" l="1"/>
  <c r="P15" i="58"/>
  <c r="P12" i="57" l="1"/>
  <c r="P13" i="57" s="1"/>
  <c r="P16" i="58"/>
  <c r="P18" i="58" s="1"/>
  <c r="I35" i="2"/>
  <c r="I34" i="2"/>
  <c r="I36" i="2" s="1"/>
  <c r="P14" i="57" l="1"/>
  <c r="P15" i="57" s="1"/>
  <c r="P17" i="58"/>
  <c r="P19" i="58" s="1"/>
  <c r="M20" i="26"/>
  <c r="P3" i="26"/>
  <c r="P21" i="26" l="1"/>
  <c r="P22" i="26" s="1"/>
  <c r="P23" i="26" l="1"/>
  <c r="P24" i="26"/>
  <c r="P25" i="26" l="1"/>
  <c r="L30" i="2" s="1"/>
  <c r="J20" i="2"/>
  <c r="J19" i="2"/>
  <c r="I47" i="2" l="1"/>
  <c r="J18" i="2"/>
  <c r="J32" i="2" l="1"/>
  <c r="J33" i="2" s="1"/>
  <c r="J35" i="2" s="1"/>
  <c r="J34" i="2" l="1"/>
  <c r="J36" i="2" s="1"/>
</calcChain>
</file>

<file path=xl/sharedStrings.xml><?xml version="1.0" encoding="utf-8"?>
<sst xmlns="http://schemas.openxmlformats.org/spreadsheetml/2006/main" count="844" uniqueCount="193">
  <si>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</si>
  <si>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</si>
  <si>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</si>
  <si>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</si>
  <si>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</si>
  <si>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</si>
  <si>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</si>
  <si>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</si>
  <si>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</si>
  <si>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</si>
  <si>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</si>
  <si>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</si>
  <si>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</si>
  <si>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</si>
  <si>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</si>
  <si>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</si>
  <si>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</si>
  <si>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</si>
  <si>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</si>
  <si>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</si>
  <si>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</si>
  <si>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</si>
  <si>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</si>
  <si>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</si>
  <si>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</si>
  <si>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</si>
  <si>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</si>
  <si>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</si>
  <si>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</si>
  <si>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</si>
  <si>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</si>
  <si>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</si>
  <si>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</si>
  <si>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</si>
  <si>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</si>
  <si>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</si>
  <si>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</si>
  <si>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</si>
  <si>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</si>
  <si>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</si>
  <si>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</si>
  <si>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</si>
  <si>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</si>
  <si>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</si>
  <si>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</si>
  <si>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</si>
  <si>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</si>
  <si>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</si>
  <si>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</si>
  <si>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</si>
  <si>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</si>
  <si>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</si>
  <si>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</si>
  <si>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</si>
  <si>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</si>
  <si>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</si>
  <si>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PENGIRIMAN BARANG TUJUAN TANJUNG PANDAN</t>
  </si>
  <si>
    <t>TANJUNG PANDAN</t>
  </si>
  <si>
    <t>OKTOBER</t>
  </si>
  <si>
    <t>DMD/2110/18/ZIAM9214</t>
  </si>
  <si>
    <t>GSK211011KRQ037</t>
  </si>
  <si>
    <t>GSK211011NEG856</t>
  </si>
  <si>
    <t>GSK211011PXH081</t>
  </si>
  <si>
    <t>GSK211018LAE789</t>
  </si>
  <si>
    <t>GSK211018BWP482</t>
  </si>
  <si>
    <t>GSK211011RQH583</t>
  </si>
  <si>
    <t>GSK211011QXT429</t>
  </si>
  <si>
    <t>GSK211011JCP854</t>
  </si>
  <si>
    <t>GSK211018MAT624</t>
  </si>
  <si>
    <t>GSK211018FQU572</t>
  </si>
  <si>
    <t>GSK211018XCS806</t>
  </si>
  <si>
    <t>GSK211018DKM916</t>
  </si>
  <si>
    <t>GSK211018HOJ120</t>
  </si>
  <si>
    <t>GSK211013BIX052</t>
  </si>
  <si>
    <t>GSK211018WJI375</t>
  </si>
  <si>
    <t>GSK211018AQU576</t>
  </si>
  <si>
    <t>GSK211018IRQ902</t>
  </si>
  <si>
    <t>DMP TJQ (TJ.PANDAN)</t>
  </si>
  <si>
    <t>KM SAWITA</t>
  </si>
  <si>
    <t>23-Okt-21</t>
  </si>
  <si>
    <t>26/10/2021 AMARTIO</t>
  </si>
  <si>
    <t>DMD/2110/19/MFRB8154</t>
  </si>
  <si>
    <t>GSK211019PKZ514</t>
  </si>
  <si>
    <t>DMD/2110/19/DVUM3850</t>
  </si>
  <si>
    <t>GSK211019CMS210</t>
  </si>
  <si>
    <t>GSK211018NBW836</t>
  </si>
  <si>
    <t>GSK211019GKE608</t>
  </si>
  <si>
    <t>GSK211018DUA624</t>
  </si>
  <si>
    <t>GSK211019NJT961</t>
  </si>
  <si>
    <t>GSK211018LGT059</t>
  </si>
  <si>
    <t>DMD/2110/20/LQZV8460</t>
  </si>
  <si>
    <t>GSK211020ACT251</t>
  </si>
  <si>
    <t>GSK211020DVX905</t>
  </si>
  <si>
    <t>DMD/2110/20/MATQ2174</t>
  </si>
  <si>
    <t>GSK211020KCE269</t>
  </si>
  <si>
    <t>GSK211020ZTJ853</t>
  </si>
  <si>
    <t>GSK211020DYT326</t>
  </si>
  <si>
    <t>GSK211020SGX206</t>
  </si>
  <si>
    <t>GSK211020REH504</t>
  </si>
  <si>
    <t>GSK211020EXQ795</t>
  </si>
  <si>
    <t>GSK211020JCF108</t>
  </si>
  <si>
    <t>GSK211020OPA690</t>
  </si>
  <si>
    <t>GSK211020QXU391</t>
  </si>
  <si>
    <t>DMD/2110/22/TSJA7109</t>
  </si>
  <si>
    <t>GSK211022ZSO487</t>
  </si>
  <si>
    <t>DMD/2110/22/WQKV5874</t>
  </si>
  <si>
    <t>GSK211022ARL453</t>
  </si>
  <si>
    <t>DMD/2110/22/FYOK2735</t>
  </si>
  <si>
    <t>GSK211022PUQ574</t>
  </si>
  <si>
    <t>1/11/2021 AMARTIO</t>
  </si>
  <si>
    <t>DMD/2110/24/AVWK5674</t>
  </si>
  <si>
    <t>GSK211024GIA926</t>
  </si>
  <si>
    <t>GSK211024JVW946</t>
  </si>
  <si>
    <t>GSK211024UAY326</t>
  </si>
  <si>
    <t>GSK211024LFG053</t>
  </si>
  <si>
    <t>GSK211024TUB304</t>
  </si>
  <si>
    <t>GSK211024ISG524</t>
  </si>
  <si>
    <t>GSK211024ORP908</t>
  </si>
  <si>
    <t>GSK211024AVR462</t>
  </si>
  <si>
    <t>GSK211024MYE981</t>
  </si>
  <si>
    <t>GSK211024WZB306</t>
  </si>
  <si>
    <t>GSK211024RPW286</t>
  </si>
  <si>
    <t>GSK211024SHE672</t>
  </si>
  <si>
    <t>GSK211024SIE718</t>
  </si>
  <si>
    <t>GSK211024SNC581</t>
  </si>
  <si>
    <t>GSK211024XLC102</t>
  </si>
  <si>
    <t>24-Okt-21</t>
  </si>
  <si>
    <t>DMD/2110/25/KSQV4521</t>
  </si>
  <si>
    <t>GSK211025WBL810</t>
  </si>
  <si>
    <t>GSK211025TCW948</t>
  </si>
  <si>
    <t>GSK211025LYP586</t>
  </si>
  <si>
    <t>DMD/2110/25/UOXI2395</t>
  </si>
  <si>
    <t>GSK211025HFI041</t>
  </si>
  <si>
    <t>GSK211024ROI298</t>
  </si>
  <si>
    <t>GSK211024ALT842</t>
  </si>
  <si>
    <t>25-Okt-21</t>
  </si>
  <si>
    <t>DMD/2110/26/OIJZ1923</t>
  </si>
  <si>
    <t>GSK211026OJT475</t>
  </si>
  <si>
    <t>GSK211026FWT576</t>
  </si>
  <si>
    <t>GSK211022CRZ328</t>
  </si>
  <si>
    <t>26-Okt-21</t>
  </si>
  <si>
    <t>DMD/2110/27/OUTZ5386</t>
  </si>
  <si>
    <t>GSK211027MBE309</t>
  </si>
  <si>
    <t>GSK211027FGM690</t>
  </si>
  <si>
    <t>GSK211027YXT806</t>
  </si>
  <si>
    <t>27-Okt-21</t>
  </si>
  <si>
    <t>DMD/2110/28/GDVW6921</t>
  </si>
  <si>
    <t>GSK211028PSY190</t>
  </si>
  <si>
    <t>28-Okt-21</t>
  </si>
  <si>
    <t>DMD/2110/29/WOFU3105</t>
  </si>
  <si>
    <t>GSK211029MUG760</t>
  </si>
  <si>
    <t>GSK211029ZQL915</t>
  </si>
  <si>
    <t>GSK211029WIU421</t>
  </si>
  <si>
    <t>GSK211029UHD917</t>
  </si>
  <si>
    <t>GSK211029LVC843</t>
  </si>
  <si>
    <t>GSK211029CLW084</t>
  </si>
  <si>
    <t>GSK211029ZQK982</t>
  </si>
  <si>
    <t>29-Okt-21</t>
  </si>
  <si>
    <t>11/8/2021 AMARTIO</t>
  </si>
  <si>
    <t>DMD/2110/30/RNVA6238</t>
  </si>
  <si>
    <t>GSK211030AHF719</t>
  </si>
  <si>
    <t>GSK211030AES098</t>
  </si>
  <si>
    <t>GSK211030XWA097</t>
  </si>
  <si>
    <t>GSK211030FBJ953</t>
  </si>
  <si>
    <t>GSK211030YDA953</t>
  </si>
  <si>
    <t>GSK211030EJU109</t>
  </si>
  <si>
    <t>GSK211030HEX793</t>
  </si>
  <si>
    <t>GSK211029CSE932</t>
  </si>
  <si>
    <t>GSK211030EKA248</t>
  </si>
  <si>
    <t>DMD/2110/31/IVBP8704</t>
  </si>
  <si>
    <t>GSK211031QRW436</t>
  </si>
  <si>
    <t>GSK211031CHK485</t>
  </si>
  <si>
    <t>GSK211031PYZ860</t>
  </si>
  <si>
    <t>GSK211031HXU376</t>
  </si>
  <si>
    <t>GSK211031TMV263</t>
  </si>
  <si>
    <t>GSK211031XOG490</t>
  </si>
  <si>
    <t>GSK211031CYW536</t>
  </si>
  <si>
    <t>GSK211031SPG857</t>
  </si>
  <si>
    <t>GSK211031HMW789</t>
  </si>
  <si>
    <t>GSK211031ROG610</t>
  </si>
  <si>
    <t>GSK211031UDP845</t>
  </si>
  <si>
    <t>GSK211031XDQ245</t>
  </si>
  <si>
    <t>GSK211031ZCN021</t>
  </si>
  <si>
    <t>GSK211031GUD632</t>
  </si>
  <si>
    <t>GSK211031RMD632</t>
  </si>
  <si>
    <t>GSK211031LXJ023</t>
  </si>
  <si>
    <t>GSK211031OQW791</t>
  </si>
  <si>
    <t>GSK211031FST057</t>
  </si>
  <si>
    <t>8/11/2021 AMARTIO</t>
  </si>
  <si>
    <t xml:space="preserve"> 042/PCI/PI/XI/21</t>
  </si>
  <si>
    <t xml:space="preserve"> 30 November 21</t>
  </si>
  <si>
    <t>DMD/2110/27/ROAC8412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</si>
  <si>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Dua Ratus Dua Puluh Enam Ribu Tujuh Ratus Satu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</si>
</sst>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0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9525</xdr:colOff>
      <xdr:row>47</xdr:row>
      <xdr:rowOff>10829</xdr:rowOff>
    </xdr:from>
    <xdr:to>
      <xdr:col>10</xdr:col>
      <xdr:colOff>419100</xdr:colOff>
      <xdr:row>53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47936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19" totalsRowShown="0" headerRowDxfId="203" dataDxfId="201" headerRowBorderDxfId="202">
  <tableColumns count="12">
    <tableColumn id="1" name="NOMOR" dataDxfId="200" dataCellStyle="Normal"/>
    <tableColumn id="3" name="TUJUAN" dataDxfId="199" dataCellStyle="Normal"/>
    <tableColumn id="16" name="Pick Up" dataDxfId="198"/>
    <tableColumn id="14" name="KAPAL" dataDxfId="197"/>
    <tableColumn id="15" name="ETD Kapal" dataDxfId="196"/>
    <tableColumn id="10" name="KETERANGAN" dataDxfId="195" dataCellStyle="Normal"/>
    <tableColumn id="5" name="P" dataDxfId="194" dataCellStyle="Normal"/>
    <tableColumn id="6" name="L" dataDxfId="193" dataCellStyle="Normal"/>
    <tableColumn id="7" name="T" dataDxfId="192" dataCellStyle="Normal"/>
    <tableColumn id="4" name="ACT KG" dataDxfId="191" dataCellStyle="Normal"/>
    <tableColumn id="8" name="KG VOLUME" dataDxfId="190" dataCellStyle="Normal"/>
    <tableColumn id="19" name="PEMBULATAN" dataDxfId="18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11" displayName="Table224578910112311" ref="C2:N9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12" displayName="Table224578910112312" ref="C2:N11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13" displayName="Table224578910112313" ref="C2:N2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9" totalsRowShown="0" headerRowDxfId="185" dataDxfId="183" headerRowBorderDxfId="184">
  <tableColumns count="12">
    <tableColumn id="1" name="NOMOR" dataDxfId="182" dataCellStyle="Normal"/>
    <tableColumn id="3" name="TUJUAN" dataDxfId="181" dataCellStyle="Normal"/>
    <tableColumn id="16" name="Pick Up" dataDxfId="180"/>
    <tableColumn id="14" name="KAPAL" dataDxfId="179"/>
    <tableColumn id="15" name="ETD Kapal" dataDxfId="178"/>
    <tableColumn id="10" name="KETERANGAN" dataDxfId="177" dataCellStyle="Normal"/>
    <tableColumn id="5" name="P" dataDxfId="176" dataCellStyle="Normal"/>
    <tableColumn id="6" name="L" dataDxfId="175" dataCellStyle="Normal"/>
    <tableColumn id="7" name="T" dataDxfId="174" dataCellStyle="Normal"/>
    <tableColumn id="4" name="ACT KG" dataDxfId="173" dataCellStyle="Normal"/>
    <tableColumn id="8" name="KG VOLUME" dataDxfId="172" dataCellStyle="Normal"/>
    <tableColumn id="19" name="PEMBULATAN" dataDxfId="17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13" totalsRowShown="0" headerRowDxfId="169" dataDxfId="167" headerRowBorderDxfId="168">
  <tableColumns count="12">
    <tableColumn id="1" name="NOMOR" dataDxfId="166" dataCellStyle="Normal"/>
    <tableColumn id="3" name="TUJUAN" dataDxfId="165" dataCellStyle="Normal"/>
    <tableColumn id="16" name="Pick Up" dataDxfId="164"/>
    <tableColumn id="14" name="KAPAL" dataDxfId="163"/>
    <tableColumn id="15" name="ETD Kapal" dataDxfId="162"/>
    <tableColumn id="10" name="KETERANGAN" dataDxfId="161" dataCellStyle="Normal"/>
    <tableColumn id="5" name="P" dataDxfId="160" dataCellStyle="Normal"/>
    <tableColumn id="6" name="L" dataDxfId="159" dataCellStyle="Normal"/>
    <tableColumn id="7" name="T" dataDxfId="158" dataCellStyle="Normal"/>
    <tableColumn id="4" name="ACT KG" dataDxfId="157" dataCellStyle="Normal"/>
    <tableColumn id="8" name="KG VOLUME" dataDxfId="156" dataCellStyle="Normal"/>
    <tableColumn id="19" name="PEMBULATAN" dataDxfId="15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5" displayName="Table22457891011235" ref="C2:N5" totalsRowShown="0" headerRowDxfId="151" dataDxfId="149" headerRowBorderDxfId="150">
  <tableColumns count="12">
    <tableColumn id="1" name="NOMOR" dataDxfId="148" dataCellStyle="Normal"/>
    <tableColumn id="3" name="TUJUAN" dataDxfId="147" dataCellStyle="Normal"/>
    <tableColumn id="16" name="Pick Up" dataDxfId="146"/>
    <tableColumn id="14" name="KAPAL" dataDxfId="145"/>
    <tableColumn id="15" name="ETD Kapal" dataDxfId="144"/>
    <tableColumn id="10" name="KETERANGAN" dataDxfId="143" dataCellStyle="Normal"/>
    <tableColumn id="5" name="P" dataDxfId="142" dataCellStyle="Normal"/>
    <tableColumn id="6" name="L" dataDxfId="141" dataCellStyle="Normal"/>
    <tableColumn id="7" name="T" dataDxfId="140" dataCellStyle="Normal"/>
    <tableColumn id="4" name="ACT KG" dataDxfId="139" dataCellStyle="Normal"/>
    <tableColumn id="8" name="KG VOLUME" dataDxfId="138" dataCellStyle="Normal"/>
    <tableColumn id="19" name="PEMBULATAN" dataDxfId="13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6" displayName="Table22457891011236" ref="C2:N17" totalsRowShown="0" headerRowDxfId="135" dataDxfId="133" headerRowBorderDxfId="134">
  <tableColumns count="12">
    <tableColumn id="1" name="NOMOR" dataDxfId="132" dataCellStyle="Normal"/>
    <tableColumn id="3" name="TUJUAN" dataDxfId="131" dataCellStyle="Normal"/>
    <tableColumn id="16" name="Pick Up" dataDxfId="130"/>
    <tableColumn id="14" name="KAPAL" dataDxfId="129"/>
    <tableColumn id="15" name="ETD Kapal" dataDxfId="128"/>
    <tableColumn id="10" name="KETERANGAN" dataDxfId="127" dataCellStyle="Normal"/>
    <tableColumn id="5" name="P" dataDxfId="126" dataCellStyle="Normal"/>
    <tableColumn id="6" name="L" dataDxfId="125" dataCellStyle="Normal"/>
    <tableColumn id="7" name="T" dataDxfId="124" dataCellStyle="Normal"/>
    <tableColumn id="4" name="ACT KG" dataDxfId="123" dataCellStyle="Normal"/>
    <tableColumn id="8" name="KG VOLUME" dataDxfId="122" dataCellStyle="Normal"/>
    <tableColumn id="19" name="PEMBULATAN" dataDxfId="121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7" displayName="Table22457891011237" ref="C2:N8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8" displayName="Table22457891011238" ref="C2:N5" totalsRowShown="0" headerRowDxfId="99" dataDxfId="97" headerRowBorderDxfId="98">
  <tableColumns count="12">
    <tableColumn id="1" name="NOMOR" dataDxfId="96" dataCellStyle="Normal"/>
    <tableColumn id="3" name="TUJUAN" dataDxfId="95" dataCellStyle="Normal"/>
    <tableColumn id="16" name="Pick Up" dataDxfId="94"/>
    <tableColumn id="14" name="KAPAL" dataDxfId="93"/>
    <tableColumn id="15" name="ETD Kapal" dataDxfId="92"/>
    <tableColumn id="10" name="KETERANGAN" dataDxfId="91" dataCellStyle="Normal"/>
    <tableColumn id="5" name="P" dataDxfId="90" dataCellStyle="Normal"/>
    <tableColumn id="6" name="L" dataDxfId="89" dataCellStyle="Normal"/>
    <tableColumn id="7" name="T" dataDxfId="88" dataCellStyle="Normal"/>
    <tableColumn id="4" name="ACT KG" dataDxfId="87" dataCellStyle="Normal"/>
    <tableColumn id="8" name="KG VOLUME" dataDxfId="86" dataCellStyle="Normal"/>
    <tableColumn id="19" name="PEMBULATAN" dataDxfId="85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9" displayName="Table22457891011239" ref="C2:N5" totalsRowShown="0" headerRowDxfId="81" dataDxfId="79" headerRowBorderDxfId="80">
  <tableColumns count="12">
    <tableColumn id="1" name="NOMOR" dataDxfId="78" dataCellStyle="Normal"/>
    <tableColumn id="3" name="TUJUAN" dataDxfId="77" dataCellStyle="Normal"/>
    <tableColumn id="16" name="Pick Up" dataDxfId="76"/>
    <tableColumn id="14" name="KAPAL" dataDxfId="75"/>
    <tableColumn id="15" name="ETD Kapal" dataDxfId="74"/>
    <tableColumn id="10" name="KETERANGAN" dataDxfId="73" dataCellStyle="Normal"/>
    <tableColumn id="5" name="P" dataDxfId="72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 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10" displayName="Table224578910112310" ref="C2:N3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58"/>
    <tableColumn id="10" name="KETERANGAN" dataDxfId="57" dataCellStyle="Normal"/>
    <tableColumn id="5" name="P" dataDxfId="56" dataCellStyle="Normal"/>
    <tableColumn id="6" name="L" dataDxfId="55" dataCellStyle="Normal"/>
    <tableColumn id="7" name="T" dataDxfId="54" dataCellStyle="Normal"/>
    <tableColumn id="4" name="ACT KG" dataDxfId="53" dataCellStyle="Normal"/>
    <tableColumn id="8" name="KG VOLUME" dataDxfId="52" dataCellStyle="Normal"/>
    <tableColumn id="19" name="PEMBULATAN" dataDxfId="5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4"/>
  <sheetViews>
    <sheetView tabSelected="1" topLeftCell="A39" workbookViewId="0">
      <selection activeCell="F52" sqref="F5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7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6" t="s">
        <v>14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2" spans="1:10" x14ac:dyDescent="0.25">
      <c r="A12" s="18" t="s">
        <v>15</v>
      </c>
      <c r="B12" s="18" t="s">
        <v>16</v>
      </c>
      <c r="G12" s="103" t="s">
        <v>49</v>
      </c>
      <c r="H12" s="103"/>
      <c r="I12" s="23" t="s">
        <v>17</v>
      </c>
      <c r="J12" s="24" t="s">
        <v>189</v>
      </c>
    </row>
    <row r="13" spans="1:10" x14ac:dyDescent="0.25">
      <c r="G13" s="103" t="s">
        <v>18</v>
      </c>
      <c r="H13" s="103"/>
      <c r="I13" s="23" t="s">
        <v>17</v>
      </c>
      <c r="J13" s="25" t="s">
        <v>190</v>
      </c>
    </row>
    <row r="14" spans="1:10" x14ac:dyDescent="0.25">
      <c r="G14" s="103" t="s">
        <v>50</v>
      </c>
      <c r="H14" s="103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9" t="s">
        <v>28</v>
      </c>
      <c r="I17" s="110"/>
      <c r="J17" s="29" t="s">
        <v>29</v>
      </c>
    </row>
    <row r="18" spans="1:12" ht="48" customHeight="1" x14ac:dyDescent="0.25">
      <c r="A18" s="30">
        <v>1</v>
      </c>
      <c r="B18" s="31">
        <f>'402241'!E3</f>
        <v>44487</v>
      </c>
      <c r="C18" s="84">
        <f>'402241'!A3</f>
        <v>402241</v>
      </c>
      <c r="D18" s="32" t="s">
        <v>56</v>
      </c>
      <c r="E18" s="32" t="s">
        <v>77</v>
      </c>
      <c r="F18" s="33">
        <v>17</v>
      </c>
      <c r="G18" s="100">
        <f>'402241'!N20</f>
        <v>575.20425000000012</v>
      </c>
      <c r="H18" s="111">
        <v>3000</v>
      </c>
      <c r="I18" s="112"/>
      <c r="J18" s="34">
        <f>G18*H18</f>
        <v>1725612.7500000002</v>
      </c>
      <c r="L18"/>
    </row>
    <row r="19" spans="1:12" ht="48" customHeight="1" x14ac:dyDescent="0.25">
      <c r="A19" s="30">
        <f>A18+1</f>
        <v>2</v>
      </c>
      <c r="B19" s="31">
        <f>'402544'!E3</f>
        <v>44488</v>
      </c>
      <c r="C19" s="84">
        <f>'402544'!A3</f>
        <v>402544</v>
      </c>
      <c r="D19" s="32" t="s">
        <v>56</v>
      </c>
      <c r="E19" s="32" t="s">
        <v>77</v>
      </c>
      <c r="F19" s="33">
        <v>7</v>
      </c>
      <c r="G19" s="101">
        <f>'402544'!N10</f>
        <v>343</v>
      </c>
      <c r="H19" s="111">
        <v>3000</v>
      </c>
      <c r="I19" s="112"/>
      <c r="J19" s="34">
        <f t="shared" ref="J19:J20" si="0">G19*H19</f>
        <v>1029000</v>
      </c>
      <c r="L19"/>
    </row>
    <row r="20" spans="1:12" ht="48" customHeight="1" x14ac:dyDescent="0.25">
      <c r="A20" s="30">
        <f t="shared" ref="A20:A29" si="1">A19+1</f>
        <v>3</v>
      </c>
      <c r="B20" s="31">
        <f>'401489'!E3</f>
        <v>44489</v>
      </c>
      <c r="C20" s="84">
        <f>'401489'!A3</f>
        <v>401489</v>
      </c>
      <c r="D20" s="32" t="s">
        <v>56</v>
      </c>
      <c r="E20" s="32" t="s">
        <v>77</v>
      </c>
      <c r="F20" s="33">
        <v>11</v>
      </c>
      <c r="G20" s="101">
        <f>'401489'!N14</f>
        <v>464.49900000000002</v>
      </c>
      <c r="H20" s="111">
        <v>3000</v>
      </c>
      <c r="I20" s="112"/>
      <c r="J20" s="34">
        <f t="shared" si="0"/>
        <v>1393497</v>
      </c>
      <c r="L20"/>
    </row>
    <row r="21" spans="1:12" ht="48" customHeight="1" x14ac:dyDescent="0.25">
      <c r="A21" s="30">
        <f t="shared" si="1"/>
        <v>4</v>
      </c>
      <c r="B21" s="31">
        <f>'401493'!E3</f>
        <v>44491</v>
      </c>
      <c r="C21" s="84">
        <f>'401493'!A3</f>
        <v>401493</v>
      </c>
      <c r="D21" s="32" t="s">
        <v>56</v>
      </c>
      <c r="E21" s="32" t="s">
        <v>77</v>
      </c>
      <c r="F21" s="33">
        <v>3</v>
      </c>
      <c r="G21" s="101">
        <f>'401493'!N6</f>
        <v>143.64000000000001</v>
      </c>
      <c r="H21" s="111">
        <v>3000</v>
      </c>
      <c r="I21" s="112"/>
      <c r="J21" s="34">
        <f t="shared" ref="J21:J29" si="2">G21*H21</f>
        <v>430920.00000000006</v>
      </c>
      <c r="L21"/>
    </row>
    <row r="22" spans="1:12" ht="48" customHeight="1" x14ac:dyDescent="0.25">
      <c r="A22" s="30">
        <f t="shared" si="1"/>
        <v>5</v>
      </c>
      <c r="B22" s="31" t="str">
        <f>'402246'!E3</f>
        <v>24-Okt-21</v>
      </c>
      <c r="C22" s="84">
        <f>'402246'!A3</f>
        <v>402246</v>
      </c>
      <c r="D22" s="32" t="s">
        <v>56</v>
      </c>
      <c r="E22" s="32" t="s">
        <v>77</v>
      </c>
      <c r="F22" s="33">
        <v>15</v>
      </c>
      <c r="G22" s="101">
        <f>'402246'!N18</f>
        <v>333.03825000000001</v>
      </c>
      <c r="H22" s="111">
        <v>3000</v>
      </c>
      <c r="I22" s="112"/>
      <c r="J22" s="34">
        <f t="shared" si="2"/>
        <v>999114.75</v>
      </c>
      <c r="L22"/>
    </row>
    <row r="23" spans="1:12" ht="48" customHeight="1" x14ac:dyDescent="0.25">
      <c r="A23" s="30">
        <f t="shared" si="1"/>
        <v>6</v>
      </c>
      <c r="B23" s="31" t="str">
        <f>'402249'!E3</f>
        <v>25-Okt-21</v>
      </c>
      <c r="C23" s="84">
        <f>'402249'!A3</f>
        <v>402249</v>
      </c>
      <c r="D23" s="32" t="s">
        <v>56</v>
      </c>
      <c r="E23" s="32" t="s">
        <v>77</v>
      </c>
      <c r="F23" s="33">
        <v>6</v>
      </c>
      <c r="G23" s="101">
        <f>'402249'!N9</f>
        <v>102</v>
      </c>
      <c r="H23" s="111">
        <v>3000</v>
      </c>
      <c r="I23" s="112"/>
      <c r="J23" s="34">
        <f t="shared" si="2"/>
        <v>306000</v>
      </c>
      <c r="L23"/>
    </row>
    <row r="24" spans="1:12" ht="48" customHeight="1" x14ac:dyDescent="0.25">
      <c r="A24" s="30">
        <f t="shared" si="1"/>
        <v>7</v>
      </c>
      <c r="B24" s="31" t="str">
        <f>'402425'!E3</f>
        <v>26-Okt-21</v>
      </c>
      <c r="C24" s="84">
        <f>'402425'!A3</f>
        <v>402425</v>
      </c>
      <c r="D24" s="32" t="s">
        <v>56</v>
      </c>
      <c r="E24" s="32" t="s">
        <v>77</v>
      </c>
      <c r="F24" s="33">
        <v>3</v>
      </c>
      <c r="G24" s="101">
        <f>'402425'!N6</f>
        <v>216.96</v>
      </c>
      <c r="H24" s="111">
        <v>3000</v>
      </c>
      <c r="I24" s="112"/>
      <c r="J24" s="34">
        <f t="shared" si="2"/>
        <v>650880</v>
      </c>
      <c r="L24"/>
    </row>
    <row r="25" spans="1:12" ht="48" customHeight="1" x14ac:dyDescent="0.25">
      <c r="A25" s="30">
        <f t="shared" si="1"/>
        <v>8</v>
      </c>
      <c r="B25" s="31" t="str">
        <f>'402435'!E3</f>
        <v>27-Okt-21</v>
      </c>
      <c r="C25" s="84">
        <f>'402435'!A3</f>
        <v>402435</v>
      </c>
      <c r="D25" s="32" t="s">
        <v>56</v>
      </c>
      <c r="E25" s="32" t="s">
        <v>77</v>
      </c>
      <c r="F25" s="33">
        <v>3</v>
      </c>
      <c r="G25" s="101">
        <v>100</v>
      </c>
      <c r="H25" s="111">
        <v>3000</v>
      </c>
      <c r="I25" s="112"/>
      <c r="J25" s="34">
        <f t="shared" si="2"/>
        <v>300000</v>
      </c>
      <c r="L25"/>
    </row>
    <row r="26" spans="1:12" ht="48" customHeight="1" x14ac:dyDescent="0.25">
      <c r="A26" s="30">
        <f t="shared" si="1"/>
        <v>9</v>
      </c>
      <c r="B26" s="31" t="str">
        <f>Table224578910112310[Pick Up]</f>
        <v>28-Okt-21</v>
      </c>
      <c r="C26" s="84">
        <f>'402438'!A3</f>
        <v>402438</v>
      </c>
      <c r="D26" s="32" t="s">
        <v>56</v>
      </c>
      <c r="E26" s="32" t="s">
        <v>77</v>
      </c>
      <c r="F26" s="33">
        <v>1</v>
      </c>
      <c r="G26" s="101">
        <v>100</v>
      </c>
      <c r="H26" s="111">
        <v>3000</v>
      </c>
      <c r="I26" s="112"/>
      <c r="J26" s="34">
        <f t="shared" si="2"/>
        <v>300000</v>
      </c>
      <c r="L26"/>
    </row>
    <row r="27" spans="1:12" ht="48" customHeight="1" x14ac:dyDescent="0.25">
      <c r="A27" s="30">
        <f t="shared" si="1"/>
        <v>10</v>
      </c>
      <c r="B27" s="31" t="str">
        <f>'402307'!E3</f>
        <v>29-Okt-21</v>
      </c>
      <c r="C27" s="84">
        <f>'402307'!A3</f>
        <v>402307</v>
      </c>
      <c r="D27" s="32" t="s">
        <v>56</v>
      </c>
      <c r="E27" s="32" t="s">
        <v>77</v>
      </c>
      <c r="F27" s="33">
        <v>7</v>
      </c>
      <c r="G27" s="101">
        <f>'402307'!N10</f>
        <v>128.613</v>
      </c>
      <c r="H27" s="111">
        <v>3000</v>
      </c>
      <c r="I27" s="112"/>
      <c r="J27" s="34">
        <f t="shared" si="2"/>
        <v>385839</v>
      </c>
      <c r="L27"/>
    </row>
    <row r="28" spans="1:12" ht="48" customHeight="1" x14ac:dyDescent="0.25">
      <c r="A28" s="30">
        <f t="shared" si="1"/>
        <v>11</v>
      </c>
      <c r="B28" s="31">
        <f>'402312'!E3</f>
        <v>44499</v>
      </c>
      <c r="C28" s="84">
        <f>'402312'!A3</f>
        <v>402312</v>
      </c>
      <c r="D28" s="32" t="s">
        <v>56</v>
      </c>
      <c r="E28" s="32" t="s">
        <v>77</v>
      </c>
      <c r="F28" s="33">
        <v>9</v>
      </c>
      <c r="G28" s="101">
        <v>100</v>
      </c>
      <c r="H28" s="111">
        <v>3000</v>
      </c>
      <c r="I28" s="112"/>
      <c r="J28" s="34">
        <f t="shared" si="2"/>
        <v>300000</v>
      </c>
      <c r="L28"/>
    </row>
    <row r="29" spans="1:12" ht="48" customHeight="1" x14ac:dyDescent="0.25">
      <c r="A29" s="30">
        <f t="shared" si="1"/>
        <v>12</v>
      </c>
      <c r="B29" s="31">
        <f>'402317'!E3</f>
        <v>44500</v>
      </c>
      <c r="C29" s="84">
        <f>'402317'!A3</f>
        <v>402317</v>
      </c>
      <c r="D29" s="32" t="s">
        <v>56</v>
      </c>
      <c r="E29" s="32" t="s">
        <v>77</v>
      </c>
      <c r="F29" s="33">
        <v>18</v>
      </c>
      <c r="G29" s="101">
        <f>'402317'!N21</f>
        <v>470.74874999999997</v>
      </c>
      <c r="H29" s="111">
        <v>3000</v>
      </c>
      <c r="I29" s="112"/>
      <c r="J29" s="34">
        <f t="shared" si="2"/>
        <v>1412246.25</v>
      </c>
      <c r="L29"/>
    </row>
    <row r="30" spans="1:12" ht="32.25" customHeight="1" thickBot="1" x14ac:dyDescent="0.3">
      <c r="A30" s="113" t="s">
        <v>30</v>
      </c>
      <c r="B30" s="114"/>
      <c r="C30" s="114"/>
      <c r="D30" s="114"/>
      <c r="E30" s="114"/>
      <c r="F30" s="114"/>
      <c r="G30" s="114"/>
      <c r="H30" s="114"/>
      <c r="I30" s="115"/>
      <c r="J30" s="35">
        <f>SUM(J18:J29)</f>
        <v>9233109.75</v>
      </c>
      <c r="L30" s="82">
        <f>'402241'!P25+'402544'!P15+'401489'!P19+'401493'!P11+'402246'!P23+'402249'!P14+'402425'!P11+'402435'!P11+'402438'!P9+'402307'!P15+'402312'!P17+'402317'!P26</f>
        <v>7781298.7972500008</v>
      </c>
    </row>
    <row r="31" spans="1:12" x14ac:dyDescent="0.25">
      <c r="A31" s="116"/>
      <c r="B31" s="116"/>
      <c r="C31" s="36"/>
      <c r="D31" s="36"/>
      <c r="E31" s="36"/>
      <c r="F31" s="36"/>
      <c r="G31" s="36"/>
      <c r="H31" s="37"/>
      <c r="I31" s="37"/>
      <c r="J31" s="38"/>
    </row>
    <row r="32" spans="1:12" x14ac:dyDescent="0.25">
      <c r="A32" s="85"/>
      <c r="B32" s="85"/>
      <c r="C32" s="85"/>
      <c r="D32" s="85"/>
      <c r="E32" s="85"/>
      <c r="F32" s="85"/>
      <c r="G32" s="39" t="s">
        <v>51</v>
      </c>
      <c r="H32" s="39"/>
      <c r="I32" s="37"/>
      <c r="J32" s="38">
        <f>J30*10%</f>
        <v>923310.97500000009</v>
      </c>
      <c r="L32" s="40"/>
    </row>
    <row r="33" spans="1:12" x14ac:dyDescent="0.25">
      <c r="A33" s="85"/>
      <c r="B33" s="85"/>
      <c r="C33" s="85"/>
      <c r="D33" s="85"/>
      <c r="E33" s="85"/>
      <c r="F33" s="85"/>
      <c r="G33" s="92" t="s">
        <v>52</v>
      </c>
      <c r="H33" s="92"/>
      <c r="I33" s="93"/>
      <c r="J33" s="95">
        <f>J30-J32</f>
        <v>8309798.7750000004</v>
      </c>
      <c r="L33" s="40"/>
    </row>
    <row r="34" spans="1:12" x14ac:dyDescent="0.25">
      <c r="A34" s="85"/>
      <c r="B34" s="85"/>
      <c r="C34" s="85"/>
      <c r="D34" s="85"/>
      <c r="E34" s="85"/>
      <c r="F34" s="85"/>
      <c r="G34" s="39" t="s">
        <v>31</v>
      </c>
      <c r="H34" s="39"/>
      <c r="I34" s="40" t="e">
        <f>#REF!*1%</f>
        <v>#REF!</v>
      </c>
      <c r="J34" s="38">
        <f>J33*1%</f>
        <v>83097.98775</v>
      </c>
    </row>
    <row r="35" spans="1:12" ht="16.5" thickBot="1" x14ac:dyDescent="0.3">
      <c r="A35" s="85"/>
      <c r="B35" s="85"/>
      <c r="C35" s="85"/>
      <c r="D35" s="85"/>
      <c r="E35" s="85"/>
      <c r="F35" s="85"/>
      <c r="G35" s="94" t="s">
        <v>54</v>
      </c>
      <c r="H35" s="94"/>
      <c r="I35" s="41">
        <f>I31*10%</f>
        <v>0</v>
      </c>
      <c r="J35" s="41">
        <f>J33*2%</f>
        <v>166195.9755</v>
      </c>
    </row>
    <row r="36" spans="1:12" x14ac:dyDescent="0.25">
      <c r="E36" s="17"/>
      <c r="F36" s="17"/>
      <c r="G36" s="42" t="s">
        <v>55</v>
      </c>
      <c r="H36" s="42"/>
      <c r="I36" s="43" t="e">
        <f>I30+I34</f>
        <v>#REF!</v>
      </c>
      <c r="J36" s="43">
        <f>J33+J34-J35</f>
        <v>8226700.7872500001</v>
      </c>
    </row>
    <row r="37" spans="1:12" x14ac:dyDescent="0.25">
      <c r="E37" s="17"/>
      <c r="F37" s="17"/>
      <c r="G37" s="42"/>
      <c r="H37" s="42"/>
      <c r="I37" s="43"/>
      <c r="J37" s="43"/>
    </row>
    <row r="38" spans="1:12" x14ac:dyDescent="0.25">
      <c r="A38" s="17" t="s">
        <v>192</v>
      </c>
      <c r="D38" s="17"/>
      <c r="E38" s="17"/>
      <c r="F38" s="17"/>
      <c r="G38" s="17"/>
      <c r="H38" s="42"/>
      <c r="I38" s="42"/>
      <c r="J38" s="43"/>
    </row>
    <row r="39" spans="1:12" x14ac:dyDescent="0.25">
      <c r="A39" s="44"/>
      <c r="D39" s="17"/>
      <c r="E39" s="17"/>
      <c r="F39" s="17"/>
      <c r="G39" s="17"/>
      <c r="H39" s="42"/>
      <c r="I39" s="42"/>
      <c r="J39" s="43"/>
    </row>
    <row r="40" spans="1:12" x14ac:dyDescent="0.25">
      <c r="D40" s="17"/>
      <c r="E40" s="17"/>
      <c r="F40" s="17"/>
      <c r="G40" s="17"/>
      <c r="H40" s="42"/>
      <c r="I40" s="42"/>
      <c r="J40" s="43"/>
    </row>
    <row r="41" spans="1:12" x14ac:dyDescent="0.25">
      <c r="A41" s="45" t="s">
        <v>33</v>
      </c>
    </row>
    <row r="42" spans="1:12" x14ac:dyDescent="0.25">
      <c r="A42" s="46" t="s">
        <v>34</v>
      </c>
      <c r="B42" s="47"/>
      <c r="C42" s="47"/>
      <c r="D42" s="48"/>
      <c r="E42" s="48"/>
      <c r="F42" s="48"/>
      <c r="G42" s="48"/>
    </row>
    <row r="43" spans="1:12" x14ac:dyDescent="0.25">
      <c r="A43" s="46" t="s">
        <v>35</v>
      </c>
      <c r="B43" s="47"/>
      <c r="C43" s="47"/>
      <c r="D43" s="48"/>
      <c r="E43" s="48"/>
      <c r="F43" s="48"/>
      <c r="G43" s="48"/>
    </row>
    <row r="44" spans="1:12" x14ac:dyDescent="0.25">
      <c r="A44" s="49" t="s">
        <v>36</v>
      </c>
      <c r="B44" s="50"/>
      <c r="C44" s="50"/>
      <c r="D44" s="48"/>
      <c r="E44" s="48"/>
      <c r="F44" s="48"/>
      <c r="G44" s="48"/>
    </row>
    <row r="45" spans="1:12" x14ac:dyDescent="0.25">
      <c r="A45" s="51" t="s">
        <v>8</v>
      </c>
      <c r="B45" s="52"/>
      <c r="C45" s="52"/>
      <c r="D45" s="48"/>
      <c r="E45" s="48"/>
      <c r="F45" s="48"/>
      <c r="G45" s="48"/>
    </row>
    <row r="46" spans="1:12" x14ac:dyDescent="0.25">
      <c r="A46" s="53"/>
      <c r="B46" s="53"/>
      <c r="C46" s="53"/>
    </row>
    <row r="47" spans="1:12" x14ac:dyDescent="0.25">
      <c r="H47" s="54" t="s">
        <v>37</v>
      </c>
      <c r="I47" s="104" t="str">
        <f>+J13</f>
        <v xml:space="preserve"> 30 November 21</v>
      </c>
      <c r="J47" s="105"/>
    </row>
    <row r="51" spans="8:10" ht="18" customHeight="1" x14ac:dyDescent="0.25"/>
    <row r="52" spans="8:10" ht="17.25" customHeight="1" x14ac:dyDescent="0.25"/>
    <row r="54" spans="8:10" x14ac:dyDescent="0.25">
      <c r="H54" s="102" t="s">
        <v>38</v>
      </c>
      <c r="I54" s="102"/>
      <c r="J54" s="102"/>
    </row>
  </sheetData>
  <mergeCells count="21">
    <mergeCell ref="A10:J10"/>
    <mergeCell ref="H17:I17"/>
    <mergeCell ref="H18:I18"/>
    <mergeCell ref="A30:I30"/>
    <mergeCell ref="A31:B31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54:J54"/>
    <mergeCell ref="G14:H14"/>
    <mergeCell ref="G13:H13"/>
    <mergeCell ref="G12:H12"/>
    <mergeCell ref="I47:J4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workbookViewId="0">
      <selection activeCell="N12" sqref="N12"/>
    </sheetView>
  </sheetViews>
  <sheetFormatPr defaultRowHeight="15" x14ac:dyDescent="0.2"/>
  <cols>
    <col min="1" max="1" width="8" style="4" customWidth="1"/>
    <col min="2" max="2" width="23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402438</v>
      </c>
      <c r="B3" s="74" t="s">
        <v>146</v>
      </c>
      <c r="C3" s="9" t="s">
        <v>147</v>
      </c>
      <c r="D3" s="76" t="s">
        <v>77</v>
      </c>
      <c r="E3" s="13" t="s">
        <v>148</v>
      </c>
      <c r="F3" s="76" t="s">
        <v>78</v>
      </c>
      <c r="G3" s="13">
        <v>44499</v>
      </c>
      <c r="H3" s="10" t="s">
        <v>109</v>
      </c>
      <c r="I3" s="1">
        <v>76</v>
      </c>
      <c r="J3" s="1">
        <v>41</v>
      </c>
      <c r="K3" s="1">
        <v>25</v>
      </c>
      <c r="L3" s="1">
        <v>3</v>
      </c>
      <c r="M3" s="80">
        <v>19.475000000000001</v>
      </c>
      <c r="N3" s="96">
        <v>19.475000000000001</v>
      </c>
      <c r="O3" s="64">
        <v>3000</v>
      </c>
      <c r="P3" s="65">
        <f>Table224578910112310[[#This Row],[PEMBULATAN]]*O3</f>
        <v>58425.000000000007</v>
      </c>
    </row>
    <row r="4" spans="1:16" ht="22.5" customHeight="1" x14ac:dyDescent="0.2">
      <c r="A4" s="117" t="s">
        <v>30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9"/>
      <c r="M4" s="79">
        <f>SUBTOTAL(109,Table224578910112310[KG VOLUME])</f>
        <v>19.475000000000001</v>
      </c>
      <c r="N4" s="68">
        <f>SUM(N3:N3)</f>
        <v>19.475000000000001</v>
      </c>
      <c r="O4" s="120">
        <f>SUM(P3:P3)</f>
        <v>58425.000000000007</v>
      </c>
      <c r="P4" s="121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5842.5000000000009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52582.500000000007</v>
      </c>
    </row>
    <row r="7" spans="1:16" ht="18" customHeight="1" x14ac:dyDescent="0.2">
      <c r="A7" s="11"/>
      <c r="H7" s="63"/>
      <c r="N7" s="62" t="s">
        <v>31</v>
      </c>
      <c r="P7" s="69">
        <f>P6*1%</f>
        <v>525.82500000000005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1051.6500000000001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52056.675000000003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6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workbookViewId="0">
      <selection activeCell="O11" sqref="O11"/>
    </sheetView>
  </sheetViews>
  <sheetFormatPr defaultRowHeight="15" x14ac:dyDescent="0.2"/>
  <cols>
    <col min="1" max="1" width="8" style="4" customWidth="1"/>
    <col min="2" max="2" width="21.5703125" style="2" customWidth="1"/>
    <col min="3" max="3" width="14.5703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402307</v>
      </c>
      <c r="B3" s="74" t="s">
        <v>149</v>
      </c>
      <c r="C3" s="9" t="s">
        <v>150</v>
      </c>
      <c r="D3" s="76" t="s">
        <v>77</v>
      </c>
      <c r="E3" s="13" t="s">
        <v>157</v>
      </c>
      <c r="F3" s="76" t="s">
        <v>78</v>
      </c>
      <c r="G3" s="13">
        <v>44506</v>
      </c>
      <c r="H3" s="10" t="s">
        <v>158</v>
      </c>
      <c r="I3" s="1">
        <v>200</v>
      </c>
      <c r="J3" s="1">
        <v>91</v>
      </c>
      <c r="K3" s="1">
        <v>16</v>
      </c>
      <c r="L3" s="1">
        <v>3</v>
      </c>
      <c r="M3" s="80">
        <v>72.8</v>
      </c>
      <c r="N3" s="96">
        <v>72.8</v>
      </c>
      <c r="O3" s="64">
        <v>3000</v>
      </c>
      <c r="P3" s="65">
        <f>Table224578910112311[[#This Row],[PEMBULATAN]]*O3</f>
        <v>218400</v>
      </c>
    </row>
    <row r="4" spans="1:16" ht="26.25" customHeight="1" x14ac:dyDescent="0.2">
      <c r="A4" s="14"/>
      <c r="B4" s="75"/>
      <c r="C4" s="9" t="s">
        <v>151</v>
      </c>
      <c r="D4" s="76" t="s">
        <v>77</v>
      </c>
      <c r="E4" s="13" t="s">
        <v>157</v>
      </c>
      <c r="F4" s="76" t="s">
        <v>78</v>
      </c>
      <c r="G4" s="13">
        <v>44506</v>
      </c>
      <c r="H4" s="10" t="s">
        <v>158</v>
      </c>
      <c r="I4" s="1">
        <v>36</v>
      </c>
      <c r="J4" s="1">
        <v>25</v>
      </c>
      <c r="K4" s="1">
        <v>10</v>
      </c>
      <c r="L4" s="1">
        <v>10</v>
      </c>
      <c r="M4" s="80">
        <v>2.25</v>
      </c>
      <c r="N4" s="96">
        <v>10</v>
      </c>
      <c r="O4" s="64">
        <v>3000</v>
      </c>
      <c r="P4" s="65">
        <f>Table224578910112311[[#This Row],[PEMBULATAN]]*O4</f>
        <v>30000</v>
      </c>
    </row>
    <row r="5" spans="1:16" ht="26.25" customHeight="1" x14ac:dyDescent="0.2">
      <c r="A5" s="14"/>
      <c r="B5" s="14"/>
      <c r="C5" s="9" t="s">
        <v>152</v>
      </c>
      <c r="D5" s="76" t="s">
        <v>77</v>
      </c>
      <c r="E5" s="13" t="s">
        <v>157</v>
      </c>
      <c r="F5" s="76" t="s">
        <v>78</v>
      </c>
      <c r="G5" s="13">
        <v>44506</v>
      </c>
      <c r="H5" s="10" t="s">
        <v>158</v>
      </c>
      <c r="I5" s="1">
        <v>36</v>
      </c>
      <c r="J5" s="1">
        <v>27</v>
      </c>
      <c r="K5" s="1">
        <v>20</v>
      </c>
      <c r="L5" s="1">
        <v>10</v>
      </c>
      <c r="M5" s="80">
        <v>4.8600000000000003</v>
      </c>
      <c r="N5" s="96">
        <v>10</v>
      </c>
      <c r="O5" s="64">
        <v>3000</v>
      </c>
      <c r="P5" s="65">
        <f>Table224578910112311[[#This Row],[PEMBULATAN]]*O5</f>
        <v>30000</v>
      </c>
    </row>
    <row r="6" spans="1:16" ht="26.25" customHeight="1" x14ac:dyDescent="0.2">
      <c r="A6" s="14"/>
      <c r="B6" s="14"/>
      <c r="C6" s="73" t="s">
        <v>153</v>
      </c>
      <c r="D6" s="78" t="s">
        <v>77</v>
      </c>
      <c r="E6" s="13" t="s">
        <v>157</v>
      </c>
      <c r="F6" s="76" t="s">
        <v>78</v>
      </c>
      <c r="G6" s="13">
        <v>44506</v>
      </c>
      <c r="H6" s="77" t="s">
        <v>158</v>
      </c>
      <c r="I6" s="16">
        <v>43</v>
      </c>
      <c r="J6" s="16">
        <v>32</v>
      </c>
      <c r="K6" s="16">
        <v>29</v>
      </c>
      <c r="L6" s="16">
        <v>10</v>
      </c>
      <c r="M6" s="81">
        <v>9.9760000000000009</v>
      </c>
      <c r="N6" s="96">
        <v>10</v>
      </c>
      <c r="O6" s="64">
        <v>3000</v>
      </c>
      <c r="P6" s="65">
        <f>Table224578910112311[[#This Row],[PEMBULATAN]]*O6</f>
        <v>30000</v>
      </c>
    </row>
    <row r="7" spans="1:16" ht="26.25" customHeight="1" x14ac:dyDescent="0.2">
      <c r="A7" s="14"/>
      <c r="B7" s="14"/>
      <c r="C7" s="73" t="s">
        <v>154</v>
      </c>
      <c r="D7" s="78" t="s">
        <v>77</v>
      </c>
      <c r="E7" s="13" t="s">
        <v>157</v>
      </c>
      <c r="F7" s="76" t="s">
        <v>78</v>
      </c>
      <c r="G7" s="13">
        <v>44506</v>
      </c>
      <c r="H7" s="77" t="s">
        <v>158</v>
      </c>
      <c r="I7" s="16">
        <v>36</v>
      </c>
      <c r="J7" s="16">
        <v>25</v>
      </c>
      <c r="K7" s="16">
        <v>19</v>
      </c>
      <c r="L7" s="16">
        <v>11</v>
      </c>
      <c r="M7" s="81">
        <v>4.2750000000000004</v>
      </c>
      <c r="N7" s="96">
        <v>11</v>
      </c>
      <c r="O7" s="64">
        <v>3000</v>
      </c>
      <c r="P7" s="65">
        <f>Table224578910112311[[#This Row],[PEMBULATAN]]*O7</f>
        <v>33000</v>
      </c>
    </row>
    <row r="8" spans="1:16" ht="26.25" customHeight="1" x14ac:dyDescent="0.2">
      <c r="A8" s="14"/>
      <c r="B8" s="14"/>
      <c r="C8" s="73" t="s">
        <v>155</v>
      </c>
      <c r="D8" s="78" t="s">
        <v>77</v>
      </c>
      <c r="E8" s="13" t="s">
        <v>157</v>
      </c>
      <c r="F8" s="76" t="s">
        <v>78</v>
      </c>
      <c r="G8" s="13">
        <v>44506</v>
      </c>
      <c r="H8" s="77" t="s">
        <v>158</v>
      </c>
      <c r="I8" s="16">
        <v>41</v>
      </c>
      <c r="J8" s="16">
        <v>31</v>
      </c>
      <c r="K8" s="16">
        <v>12</v>
      </c>
      <c r="L8" s="16">
        <v>3</v>
      </c>
      <c r="M8" s="81">
        <v>3.8130000000000002</v>
      </c>
      <c r="N8" s="96">
        <v>3.8130000000000002</v>
      </c>
      <c r="O8" s="64">
        <v>3000</v>
      </c>
      <c r="P8" s="65">
        <f>Table224578910112311[[#This Row],[PEMBULATAN]]*O8</f>
        <v>11439</v>
      </c>
    </row>
    <row r="9" spans="1:16" ht="26.25" customHeight="1" x14ac:dyDescent="0.2">
      <c r="A9" s="14"/>
      <c r="B9" s="14"/>
      <c r="C9" s="73" t="s">
        <v>156</v>
      </c>
      <c r="D9" s="78" t="s">
        <v>77</v>
      </c>
      <c r="E9" s="13" t="s">
        <v>157</v>
      </c>
      <c r="F9" s="76" t="s">
        <v>78</v>
      </c>
      <c r="G9" s="13">
        <v>44506</v>
      </c>
      <c r="H9" s="77" t="s">
        <v>158</v>
      </c>
      <c r="I9" s="16">
        <v>81</v>
      </c>
      <c r="J9" s="16">
        <v>42</v>
      </c>
      <c r="K9" s="16">
        <v>10</v>
      </c>
      <c r="L9" s="16">
        <v>11</v>
      </c>
      <c r="M9" s="81">
        <v>8.5050000000000008</v>
      </c>
      <c r="N9" s="72">
        <v>11</v>
      </c>
      <c r="O9" s="64">
        <v>3000</v>
      </c>
      <c r="P9" s="65">
        <f>Table224578910112311[[#This Row],[PEMBULATAN]]*O9</f>
        <v>33000</v>
      </c>
    </row>
    <row r="10" spans="1:16" ht="22.5" customHeight="1" x14ac:dyDescent="0.2">
      <c r="A10" s="117" t="s">
        <v>30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9"/>
      <c r="M10" s="79">
        <f>SUBTOTAL(109,Table224578910112311[KG VOLUME])</f>
        <v>106.479</v>
      </c>
      <c r="N10" s="68">
        <f>SUM(N3:N9)</f>
        <v>128.613</v>
      </c>
      <c r="O10" s="120">
        <f>SUM(P3:P9)</f>
        <v>385839</v>
      </c>
      <c r="P10" s="121"/>
    </row>
    <row r="11" spans="1:16" ht="18" customHeight="1" x14ac:dyDescent="0.2">
      <c r="A11" s="86"/>
      <c r="B11" s="56" t="s">
        <v>42</v>
      </c>
      <c r="C11" s="55"/>
      <c r="D11" s="57" t="s">
        <v>43</v>
      </c>
      <c r="E11" s="86"/>
      <c r="F11" s="86"/>
      <c r="G11" s="86"/>
      <c r="H11" s="86"/>
      <c r="I11" s="86"/>
      <c r="J11" s="86"/>
      <c r="K11" s="86"/>
      <c r="L11" s="86"/>
      <c r="M11" s="87"/>
      <c r="N11" s="88" t="s">
        <v>51</v>
      </c>
      <c r="O11" s="89"/>
      <c r="P11" s="89">
        <f>O10*10%</f>
        <v>38583.9</v>
      </c>
    </row>
    <row r="12" spans="1:16" ht="18" customHeight="1" thickBot="1" x14ac:dyDescent="0.25">
      <c r="A12" s="86"/>
      <c r="B12" s="56"/>
      <c r="C12" s="55"/>
      <c r="D12" s="57"/>
      <c r="E12" s="86"/>
      <c r="F12" s="86"/>
      <c r="G12" s="86"/>
      <c r="H12" s="86"/>
      <c r="I12" s="86"/>
      <c r="J12" s="86"/>
      <c r="K12" s="86"/>
      <c r="L12" s="86"/>
      <c r="M12" s="87"/>
      <c r="N12" s="90" t="s">
        <v>52</v>
      </c>
      <c r="O12" s="91"/>
      <c r="P12" s="91">
        <f>O10-P11</f>
        <v>347255.1</v>
      </c>
    </row>
    <row r="13" spans="1:16" ht="18" customHeight="1" x14ac:dyDescent="0.2">
      <c r="A13" s="11"/>
      <c r="H13" s="63"/>
      <c r="N13" s="62" t="s">
        <v>31</v>
      </c>
      <c r="P13" s="69">
        <f>P12*1%</f>
        <v>3472.5509999999999</v>
      </c>
    </row>
    <row r="14" spans="1:16" ht="18" customHeight="1" thickBot="1" x14ac:dyDescent="0.25">
      <c r="A14" s="11"/>
      <c r="H14" s="63"/>
      <c r="N14" s="62" t="s">
        <v>53</v>
      </c>
      <c r="P14" s="71">
        <f>P12*2%</f>
        <v>6945.1019999999999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343782.54899999994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50" priority="2"/>
  </conditionalFormatting>
  <conditionalFormatting sqref="B4">
    <cfRule type="duplicateValues" dxfId="49" priority="1"/>
  </conditionalFormatting>
  <conditionalFormatting sqref="B5:B9">
    <cfRule type="duplicateValues" dxfId="48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workbookViewId="0">
      <selection activeCell="O13" sqref="O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402312</v>
      </c>
      <c r="B3" s="74" t="s">
        <v>159</v>
      </c>
      <c r="C3" s="9" t="s">
        <v>160</v>
      </c>
      <c r="D3" s="76" t="s">
        <v>77</v>
      </c>
      <c r="E3" s="13">
        <v>44499</v>
      </c>
      <c r="F3" s="76" t="s">
        <v>78</v>
      </c>
      <c r="G3" s="13">
        <v>44506</v>
      </c>
      <c r="H3" s="10" t="s">
        <v>158</v>
      </c>
      <c r="I3" s="1">
        <v>43</v>
      </c>
      <c r="J3" s="1">
        <v>34</v>
      </c>
      <c r="K3" s="1">
        <v>30</v>
      </c>
      <c r="L3" s="1">
        <v>9</v>
      </c>
      <c r="M3" s="80">
        <v>10.965</v>
      </c>
      <c r="N3" s="96">
        <v>10.965</v>
      </c>
      <c r="O3" s="64">
        <v>3000</v>
      </c>
      <c r="P3" s="65">
        <f>Table224578910112312[[#This Row],[PEMBULATAN]]*O3</f>
        <v>32895</v>
      </c>
    </row>
    <row r="4" spans="1:16" ht="26.25" customHeight="1" x14ac:dyDescent="0.2">
      <c r="A4" s="14"/>
      <c r="B4" s="75"/>
      <c r="C4" s="73" t="s">
        <v>161</v>
      </c>
      <c r="D4" s="78" t="s">
        <v>77</v>
      </c>
      <c r="E4" s="13">
        <v>44499</v>
      </c>
      <c r="F4" s="76" t="s">
        <v>78</v>
      </c>
      <c r="G4" s="13">
        <v>44506</v>
      </c>
      <c r="H4" s="77" t="s">
        <v>158</v>
      </c>
      <c r="I4" s="16">
        <v>43</v>
      </c>
      <c r="J4" s="16">
        <v>34</v>
      </c>
      <c r="K4" s="16">
        <v>30</v>
      </c>
      <c r="L4" s="16">
        <v>9</v>
      </c>
      <c r="M4" s="81">
        <v>10.965</v>
      </c>
      <c r="N4" s="96">
        <v>10.965</v>
      </c>
      <c r="O4" s="64">
        <v>3000</v>
      </c>
      <c r="P4" s="65">
        <f>Table224578910112312[[#This Row],[PEMBULATAN]]*O4</f>
        <v>32895</v>
      </c>
    </row>
    <row r="5" spans="1:16" ht="26.25" customHeight="1" x14ac:dyDescent="0.2">
      <c r="A5" s="14"/>
      <c r="B5" s="75"/>
      <c r="C5" s="73" t="s">
        <v>162</v>
      </c>
      <c r="D5" s="78" t="s">
        <v>77</v>
      </c>
      <c r="E5" s="13">
        <v>44499</v>
      </c>
      <c r="F5" s="76" t="s">
        <v>78</v>
      </c>
      <c r="G5" s="13">
        <v>44506</v>
      </c>
      <c r="H5" s="77" t="s">
        <v>158</v>
      </c>
      <c r="I5" s="16">
        <v>43</v>
      </c>
      <c r="J5" s="16">
        <v>34</v>
      </c>
      <c r="K5" s="16">
        <v>30</v>
      </c>
      <c r="L5" s="16">
        <v>9</v>
      </c>
      <c r="M5" s="81">
        <v>10.965</v>
      </c>
      <c r="N5" s="96">
        <v>10.965</v>
      </c>
      <c r="O5" s="64">
        <v>3000</v>
      </c>
      <c r="P5" s="65">
        <f>Table224578910112312[[#This Row],[PEMBULATAN]]*O5</f>
        <v>32895</v>
      </c>
    </row>
    <row r="6" spans="1:16" ht="26.25" customHeight="1" x14ac:dyDescent="0.2">
      <c r="A6" s="14"/>
      <c r="B6" s="75"/>
      <c r="C6" s="73" t="s">
        <v>163</v>
      </c>
      <c r="D6" s="78" t="s">
        <v>77</v>
      </c>
      <c r="E6" s="13">
        <v>44499</v>
      </c>
      <c r="F6" s="76" t="s">
        <v>78</v>
      </c>
      <c r="G6" s="13">
        <v>44506</v>
      </c>
      <c r="H6" s="77" t="s">
        <v>158</v>
      </c>
      <c r="I6" s="16">
        <v>55</v>
      </c>
      <c r="J6" s="16">
        <v>38</v>
      </c>
      <c r="K6" s="16">
        <v>10</v>
      </c>
      <c r="L6" s="16">
        <v>10</v>
      </c>
      <c r="M6" s="81">
        <v>5.2249999999999996</v>
      </c>
      <c r="N6" s="72">
        <v>10</v>
      </c>
      <c r="O6" s="64">
        <v>3000</v>
      </c>
      <c r="P6" s="65">
        <f>Table224578910112312[[#This Row],[PEMBULATAN]]*O6</f>
        <v>30000</v>
      </c>
    </row>
    <row r="7" spans="1:16" ht="26.25" customHeight="1" x14ac:dyDescent="0.2">
      <c r="A7" s="14"/>
      <c r="B7" s="75"/>
      <c r="C7" s="73" t="s">
        <v>164</v>
      </c>
      <c r="D7" s="78" t="s">
        <v>77</v>
      </c>
      <c r="E7" s="13">
        <v>44499</v>
      </c>
      <c r="F7" s="76" t="s">
        <v>78</v>
      </c>
      <c r="G7" s="13">
        <v>44506</v>
      </c>
      <c r="H7" s="77" t="s">
        <v>158</v>
      </c>
      <c r="I7" s="16">
        <v>74</v>
      </c>
      <c r="J7" s="16">
        <v>50</v>
      </c>
      <c r="K7" s="16">
        <v>10</v>
      </c>
      <c r="L7" s="16">
        <v>10</v>
      </c>
      <c r="M7" s="81">
        <v>9.25</v>
      </c>
      <c r="N7" s="72">
        <v>10</v>
      </c>
      <c r="O7" s="64">
        <v>3000</v>
      </c>
      <c r="P7" s="65">
        <f>Table224578910112312[[#This Row],[PEMBULATAN]]*O7</f>
        <v>30000</v>
      </c>
    </row>
    <row r="8" spans="1:16" ht="26.25" customHeight="1" x14ac:dyDescent="0.2">
      <c r="A8" s="14"/>
      <c r="B8" s="75"/>
      <c r="C8" s="73" t="s">
        <v>165</v>
      </c>
      <c r="D8" s="78" t="s">
        <v>77</v>
      </c>
      <c r="E8" s="13">
        <v>44499</v>
      </c>
      <c r="F8" s="76" t="s">
        <v>78</v>
      </c>
      <c r="G8" s="13">
        <v>44506</v>
      </c>
      <c r="H8" s="77" t="s">
        <v>158</v>
      </c>
      <c r="I8" s="16">
        <v>38</v>
      </c>
      <c r="J8" s="16">
        <v>31</v>
      </c>
      <c r="K8" s="16">
        <v>16</v>
      </c>
      <c r="L8" s="16">
        <v>10</v>
      </c>
      <c r="M8" s="81">
        <v>4.7119999999999997</v>
      </c>
      <c r="N8" s="72">
        <v>10</v>
      </c>
      <c r="O8" s="64">
        <v>3000</v>
      </c>
      <c r="P8" s="65">
        <f>Table224578910112312[[#This Row],[PEMBULATAN]]*O8</f>
        <v>30000</v>
      </c>
    </row>
    <row r="9" spans="1:16" ht="26.25" customHeight="1" x14ac:dyDescent="0.2">
      <c r="A9" s="14"/>
      <c r="B9" s="75"/>
      <c r="C9" s="73" t="s">
        <v>166</v>
      </c>
      <c r="D9" s="78" t="s">
        <v>77</v>
      </c>
      <c r="E9" s="13">
        <v>44499</v>
      </c>
      <c r="F9" s="76" t="s">
        <v>78</v>
      </c>
      <c r="G9" s="13">
        <v>44506</v>
      </c>
      <c r="H9" s="77" t="s">
        <v>158</v>
      </c>
      <c r="I9" s="16">
        <v>42</v>
      </c>
      <c r="J9" s="16">
        <v>34</v>
      </c>
      <c r="K9" s="16">
        <v>18</v>
      </c>
      <c r="L9" s="16">
        <v>10</v>
      </c>
      <c r="M9" s="81">
        <v>6.4260000000000002</v>
      </c>
      <c r="N9" s="72">
        <v>10</v>
      </c>
      <c r="O9" s="64">
        <v>3000</v>
      </c>
      <c r="P9" s="65">
        <f>Table224578910112312[[#This Row],[PEMBULATAN]]*O9</f>
        <v>30000</v>
      </c>
    </row>
    <row r="10" spans="1:16" ht="26.25" customHeight="1" x14ac:dyDescent="0.2">
      <c r="A10" s="14"/>
      <c r="B10" s="75"/>
      <c r="C10" s="73" t="s">
        <v>167</v>
      </c>
      <c r="D10" s="78" t="s">
        <v>77</v>
      </c>
      <c r="E10" s="13">
        <v>44499</v>
      </c>
      <c r="F10" s="76" t="s">
        <v>78</v>
      </c>
      <c r="G10" s="13">
        <v>44506</v>
      </c>
      <c r="H10" s="77" t="s">
        <v>158</v>
      </c>
      <c r="I10" s="16">
        <v>42</v>
      </c>
      <c r="J10" s="16">
        <v>34</v>
      </c>
      <c r="K10" s="16">
        <v>18</v>
      </c>
      <c r="L10" s="16">
        <v>10</v>
      </c>
      <c r="M10" s="81">
        <v>6.4260000000000002</v>
      </c>
      <c r="N10" s="72">
        <v>10</v>
      </c>
      <c r="O10" s="64">
        <v>3000</v>
      </c>
      <c r="P10" s="65">
        <f>Table224578910112312[[#This Row],[PEMBULATAN]]*O10</f>
        <v>30000</v>
      </c>
    </row>
    <row r="11" spans="1:16" ht="26.25" customHeight="1" x14ac:dyDescent="0.2">
      <c r="A11" s="14"/>
      <c r="B11" s="75"/>
      <c r="C11" s="9" t="s">
        <v>168</v>
      </c>
      <c r="D11" s="76" t="s">
        <v>77</v>
      </c>
      <c r="E11" s="13">
        <v>44499</v>
      </c>
      <c r="F11" s="76" t="s">
        <v>78</v>
      </c>
      <c r="G11" s="13">
        <v>44506</v>
      </c>
      <c r="H11" s="10" t="s">
        <v>158</v>
      </c>
      <c r="I11" s="1">
        <v>40</v>
      </c>
      <c r="J11" s="1">
        <v>20</v>
      </c>
      <c r="K11" s="1">
        <v>20</v>
      </c>
      <c r="L11" s="1">
        <v>2</v>
      </c>
      <c r="M11" s="80">
        <v>4</v>
      </c>
      <c r="N11" s="8">
        <v>4</v>
      </c>
      <c r="O11" s="64">
        <v>3000</v>
      </c>
      <c r="P11" s="65">
        <f>Table224578910112312[[#This Row],[PEMBULATAN]]*O11</f>
        <v>12000</v>
      </c>
    </row>
    <row r="12" spans="1:16" ht="22.5" customHeight="1" x14ac:dyDescent="0.2">
      <c r="A12" s="117" t="s">
        <v>30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9"/>
      <c r="M12" s="79">
        <f>SUBTOTAL(109,Table224578910112312[KG VOLUME])</f>
        <v>68.933999999999997</v>
      </c>
      <c r="N12" s="68">
        <f>SUM(N3:N11)</f>
        <v>86.894999999999996</v>
      </c>
      <c r="O12" s="120">
        <f>SUM(P3:P11)</f>
        <v>260685</v>
      </c>
      <c r="P12" s="121"/>
    </row>
    <row r="13" spans="1:16" ht="18" customHeight="1" x14ac:dyDescent="0.2">
      <c r="A13" s="86"/>
      <c r="B13" s="56" t="s">
        <v>42</v>
      </c>
      <c r="C13" s="55"/>
      <c r="D13" s="57" t="s">
        <v>43</v>
      </c>
      <c r="E13" s="86"/>
      <c r="F13" s="86"/>
      <c r="G13" s="86"/>
      <c r="H13" s="86"/>
      <c r="I13" s="86"/>
      <c r="J13" s="86"/>
      <c r="K13" s="86"/>
      <c r="L13" s="86"/>
      <c r="M13" s="87"/>
      <c r="N13" s="88" t="s">
        <v>51</v>
      </c>
      <c r="O13" s="89"/>
      <c r="P13" s="89">
        <f>O12*10%</f>
        <v>26068.5</v>
      </c>
    </row>
    <row r="14" spans="1:16" ht="18" customHeight="1" thickBot="1" x14ac:dyDescent="0.25">
      <c r="A14" s="86"/>
      <c r="B14" s="56"/>
      <c r="C14" s="55"/>
      <c r="D14" s="57"/>
      <c r="E14" s="86"/>
      <c r="F14" s="86"/>
      <c r="G14" s="86"/>
      <c r="H14" s="86"/>
      <c r="I14" s="86"/>
      <c r="J14" s="86"/>
      <c r="K14" s="86"/>
      <c r="L14" s="86"/>
      <c r="M14" s="87"/>
      <c r="N14" s="90" t="s">
        <v>52</v>
      </c>
      <c r="O14" s="91"/>
      <c r="P14" s="91">
        <f>O12-P13</f>
        <v>234616.5</v>
      </c>
    </row>
    <row r="15" spans="1:16" ht="18" customHeight="1" x14ac:dyDescent="0.2">
      <c r="A15" s="11"/>
      <c r="H15" s="63"/>
      <c r="N15" s="62" t="s">
        <v>31</v>
      </c>
      <c r="P15" s="69">
        <f>P14*1%</f>
        <v>2346.165</v>
      </c>
    </row>
    <row r="16" spans="1:16" ht="18" customHeight="1" thickBot="1" x14ac:dyDescent="0.25">
      <c r="A16" s="11"/>
      <c r="H16" s="63"/>
      <c r="N16" s="62" t="s">
        <v>53</v>
      </c>
      <c r="P16" s="71">
        <f>P14*2%</f>
        <v>4692.33</v>
      </c>
    </row>
    <row r="17" spans="1:16" ht="18" customHeight="1" x14ac:dyDescent="0.2">
      <c r="A17" s="11"/>
      <c r="H17" s="63"/>
      <c r="N17" s="66" t="s">
        <v>32</v>
      </c>
      <c r="O17" s="67"/>
      <c r="P17" s="70">
        <f>P14+P15-P16</f>
        <v>232270.33500000002</v>
      </c>
    </row>
    <row r="19" spans="1:16" x14ac:dyDescent="0.2">
      <c r="A19" s="11"/>
      <c r="H19" s="63"/>
      <c r="P19" s="71"/>
    </row>
    <row r="20" spans="1:16" x14ac:dyDescent="0.2">
      <c r="A20" s="11"/>
      <c r="H20" s="63"/>
      <c r="O20" s="58"/>
      <c r="P20" s="71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</sheetData>
  <mergeCells count="2">
    <mergeCell ref="A12:L12"/>
    <mergeCell ref="O12:P12"/>
  </mergeCells>
  <conditionalFormatting sqref="B3:B10">
    <cfRule type="duplicateValues" dxfId="32" priority="2"/>
  </conditionalFormatting>
  <conditionalFormatting sqref="B11">
    <cfRule type="duplicateValues" dxfId="3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topLeftCell="A22" workbookViewId="0">
      <selection activeCell="O22" sqref="O2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402317</v>
      </c>
      <c r="B3" s="74" t="s">
        <v>169</v>
      </c>
      <c r="C3" s="9" t="s">
        <v>170</v>
      </c>
      <c r="D3" s="76" t="s">
        <v>77</v>
      </c>
      <c r="E3" s="13">
        <v>44500</v>
      </c>
      <c r="F3" s="76" t="s">
        <v>78</v>
      </c>
      <c r="G3" s="13">
        <v>44506</v>
      </c>
      <c r="H3" s="10" t="s">
        <v>188</v>
      </c>
      <c r="I3" s="1">
        <v>50</v>
      </c>
      <c r="J3" s="1">
        <v>42</v>
      </c>
      <c r="K3" s="1">
        <v>39</v>
      </c>
      <c r="L3" s="1">
        <v>3</v>
      </c>
      <c r="M3" s="80">
        <v>20.475000000000001</v>
      </c>
      <c r="N3" s="8">
        <v>21</v>
      </c>
      <c r="O3" s="64">
        <v>3000</v>
      </c>
      <c r="P3" s="65">
        <f>Table224578910112313[[#This Row],[PEMBULATAN]]*O3</f>
        <v>63000</v>
      </c>
    </row>
    <row r="4" spans="1:16" ht="26.25" customHeight="1" x14ac:dyDescent="0.2">
      <c r="A4" s="14"/>
      <c r="B4" s="75"/>
      <c r="C4" s="73" t="s">
        <v>171</v>
      </c>
      <c r="D4" s="78" t="s">
        <v>77</v>
      </c>
      <c r="E4" s="13">
        <v>44500</v>
      </c>
      <c r="F4" s="76" t="s">
        <v>78</v>
      </c>
      <c r="G4" s="13">
        <v>44506</v>
      </c>
      <c r="H4" s="77" t="s">
        <v>188</v>
      </c>
      <c r="I4" s="16">
        <v>45</v>
      </c>
      <c r="J4" s="16">
        <v>45</v>
      </c>
      <c r="K4" s="16">
        <v>45</v>
      </c>
      <c r="L4" s="16">
        <v>11</v>
      </c>
      <c r="M4" s="81">
        <v>22.78125</v>
      </c>
      <c r="N4" s="96">
        <v>22.78125</v>
      </c>
      <c r="O4" s="64">
        <v>3000</v>
      </c>
      <c r="P4" s="65">
        <f>Table224578910112313[[#This Row],[PEMBULATAN]]*O4</f>
        <v>68343.75</v>
      </c>
    </row>
    <row r="5" spans="1:16" ht="26.25" customHeight="1" x14ac:dyDescent="0.2">
      <c r="A5" s="14"/>
      <c r="B5" s="75"/>
      <c r="C5" s="73" t="s">
        <v>172</v>
      </c>
      <c r="D5" s="78" t="s">
        <v>77</v>
      </c>
      <c r="E5" s="13">
        <v>44500</v>
      </c>
      <c r="F5" s="76" t="s">
        <v>78</v>
      </c>
      <c r="G5" s="13">
        <v>44506</v>
      </c>
      <c r="H5" s="77" t="s">
        <v>188</v>
      </c>
      <c r="I5" s="16">
        <v>45</v>
      </c>
      <c r="J5" s="16">
        <v>45</v>
      </c>
      <c r="K5" s="16">
        <v>45</v>
      </c>
      <c r="L5" s="16">
        <v>11</v>
      </c>
      <c r="M5" s="81">
        <v>22.78125</v>
      </c>
      <c r="N5" s="96">
        <v>22.78125</v>
      </c>
      <c r="O5" s="64">
        <v>3000</v>
      </c>
      <c r="P5" s="65">
        <f>Table224578910112313[[#This Row],[PEMBULATAN]]*O5</f>
        <v>68343.75</v>
      </c>
    </row>
    <row r="6" spans="1:16" ht="26.25" customHeight="1" x14ac:dyDescent="0.2">
      <c r="A6" s="14"/>
      <c r="B6" s="75"/>
      <c r="C6" s="73" t="s">
        <v>173</v>
      </c>
      <c r="D6" s="78" t="s">
        <v>77</v>
      </c>
      <c r="E6" s="13">
        <v>44500</v>
      </c>
      <c r="F6" s="76" t="s">
        <v>78</v>
      </c>
      <c r="G6" s="13">
        <v>44506</v>
      </c>
      <c r="H6" s="77" t="s">
        <v>188</v>
      </c>
      <c r="I6" s="16">
        <v>45</v>
      </c>
      <c r="J6" s="16">
        <v>45</v>
      </c>
      <c r="K6" s="16">
        <v>45</v>
      </c>
      <c r="L6" s="16">
        <v>11</v>
      </c>
      <c r="M6" s="81">
        <v>22.78125</v>
      </c>
      <c r="N6" s="96">
        <v>22.78125</v>
      </c>
      <c r="O6" s="64">
        <v>3000</v>
      </c>
      <c r="P6" s="65">
        <f>Table224578910112313[[#This Row],[PEMBULATAN]]*O6</f>
        <v>68343.75</v>
      </c>
    </row>
    <row r="7" spans="1:16" ht="26.25" customHeight="1" x14ac:dyDescent="0.2">
      <c r="A7" s="14"/>
      <c r="B7" s="75"/>
      <c r="C7" s="73" t="s">
        <v>174</v>
      </c>
      <c r="D7" s="78" t="s">
        <v>77</v>
      </c>
      <c r="E7" s="13">
        <v>44500</v>
      </c>
      <c r="F7" s="76" t="s">
        <v>78</v>
      </c>
      <c r="G7" s="13">
        <v>44506</v>
      </c>
      <c r="H7" s="77" t="s">
        <v>188</v>
      </c>
      <c r="I7" s="16">
        <v>45</v>
      </c>
      <c r="J7" s="16">
        <v>45</v>
      </c>
      <c r="K7" s="16">
        <v>45</v>
      </c>
      <c r="L7" s="16">
        <v>11</v>
      </c>
      <c r="M7" s="81">
        <v>22.78125</v>
      </c>
      <c r="N7" s="96">
        <v>22.78125</v>
      </c>
      <c r="O7" s="64">
        <v>3000</v>
      </c>
      <c r="P7" s="65">
        <f>Table224578910112313[[#This Row],[PEMBULATAN]]*O7</f>
        <v>68343.75</v>
      </c>
    </row>
    <row r="8" spans="1:16" ht="26.25" customHeight="1" x14ac:dyDescent="0.2">
      <c r="A8" s="14"/>
      <c r="B8" s="75"/>
      <c r="C8" s="73" t="s">
        <v>175</v>
      </c>
      <c r="D8" s="78" t="s">
        <v>77</v>
      </c>
      <c r="E8" s="13">
        <v>44500</v>
      </c>
      <c r="F8" s="76" t="s">
        <v>78</v>
      </c>
      <c r="G8" s="13">
        <v>44506</v>
      </c>
      <c r="H8" s="77" t="s">
        <v>188</v>
      </c>
      <c r="I8" s="16">
        <v>150</v>
      </c>
      <c r="J8" s="16">
        <v>65</v>
      </c>
      <c r="K8" s="16">
        <v>10</v>
      </c>
      <c r="L8" s="16">
        <v>11</v>
      </c>
      <c r="M8" s="81">
        <v>24.375</v>
      </c>
      <c r="N8" s="96">
        <v>25</v>
      </c>
      <c r="O8" s="64">
        <v>3000</v>
      </c>
      <c r="P8" s="65">
        <f>Table224578910112313[[#This Row],[PEMBULATAN]]*O8</f>
        <v>75000</v>
      </c>
    </row>
    <row r="9" spans="1:16" ht="26.25" customHeight="1" x14ac:dyDescent="0.2">
      <c r="A9" s="14"/>
      <c r="B9" s="75"/>
      <c r="C9" s="73" t="s">
        <v>176</v>
      </c>
      <c r="D9" s="78" t="s">
        <v>77</v>
      </c>
      <c r="E9" s="13">
        <v>44500</v>
      </c>
      <c r="F9" s="76" t="s">
        <v>78</v>
      </c>
      <c r="G9" s="13">
        <v>44506</v>
      </c>
      <c r="H9" s="77" t="s">
        <v>188</v>
      </c>
      <c r="I9" s="16">
        <v>150</v>
      </c>
      <c r="J9" s="16">
        <v>65</v>
      </c>
      <c r="K9" s="16">
        <v>10</v>
      </c>
      <c r="L9" s="16">
        <v>11</v>
      </c>
      <c r="M9" s="81">
        <v>24.375</v>
      </c>
      <c r="N9" s="96">
        <v>25</v>
      </c>
      <c r="O9" s="64">
        <v>3000</v>
      </c>
      <c r="P9" s="65">
        <f>Table224578910112313[[#This Row],[PEMBULATAN]]*O9</f>
        <v>75000</v>
      </c>
    </row>
    <row r="10" spans="1:16" ht="26.25" customHeight="1" x14ac:dyDescent="0.2">
      <c r="A10" s="14"/>
      <c r="B10" s="75"/>
      <c r="C10" s="73" t="s">
        <v>177</v>
      </c>
      <c r="D10" s="78" t="s">
        <v>77</v>
      </c>
      <c r="E10" s="13">
        <v>44500</v>
      </c>
      <c r="F10" s="76" t="s">
        <v>78</v>
      </c>
      <c r="G10" s="13">
        <v>44506</v>
      </c>
      <c r="H10" s="77" t="s">
        <v>188</v>
      </c>
      <c r="I10" s="16">
        <v>150</v>
      </c>
      <c r="J10" s="16">
        <v>65</v>
      </c>
      <c r="K10" s="16">
        <v>10</v>
      </c>
      <c r="L10" s="16">
        <v>11</v>
      </c>
      <c r="M10" s="81">
        <v>24.375</v>
      </c>
      <c r="N10" s="96">
        <v>25</v>
      </c>
      <c r="O10" s="64">
        <v>3000</v>
      </c>
      <c r="P10" s="65">
        <f>Table224578910112313[[#This Row],[PEMBULATAN]]*O10</f>
        <v>75000</v>
      </c>
    </row>
    <row r="11" spans="1:16" ht="26.25" customHeight="1" x14ac:dyDescent="0.2">
      <c r="A11" s="14"/>
      <c r="B11" s="75"/>
      <c r="C11" s="73" t="s">
        <v>178</v>
      </c>
      <c r="D11" s="78" t="s">
        <v>77</v>
      </c>
      <c r="E11" s="13">
        <v>44500</v>
      </c>
      <c r="F11" s="76" t="s">
        <v>78</v>
      </c>
      <c r="G11" s="13">
        <v>44506</v>
      </c>
      <c r="H11" s="77" t="s">
        <v>188</v>
      </c>
      <c r="I11" s="16">
        <v>60</v>
      </c>
      <c r="J11" s="16">
        <v>35</v>
      </c>
      <c r="K11" s="16">
        <v>35</v>
      </c>
      <c r="L11" s="16">
        <v>7</v>
      </c>
      <c r="M11" s="81">
        <v>18.375</v>
      </c>
      <c r="N11" s="96">
        <v>19</v>
      </c>
      <c r="O11" s="64">
        <v>3000</v>
      </c>
      <c r="P11" s="65">
        <f>Table224578910112313[[#This Row],[PEMBULATAN]]*O11</f>
        <v>57000</v>
      </c>
    </row>
    <row r="12" spans="1:16" ht="26.25" customHeight="1" x14ac:dyDescent="0.2">
      <c r="A12" s="14"/>
      <c r="B12" s="75"/>
      <c r="C12" s="73" t="s">
        <v>179</v>
      </c>
      <c r="D12" s="78" t="s">
        <v>77</v>
      </c>
      <c r="E12" s="13">
        <v>44500</v>
      </c>
      <c r="F12" s="76" t="s">
        <v>78</v>
      </c>
      <c r="G12" s="13">
        <v>44506</v>
      </c>
      <c r="H12" s="77" t="s">
        <v>188</v>
      </c>
      <c r="I12" s="16">
        <v>47</v>
      </c>
      <c r="J12" s="16">
        <v>45</v>
      </c>
      <c r="K12" s="16">
        <v>37</v>
      </c>
      <c r="L12" s="16">
        <v>12</v>
      </c>
      <c r="M12" s="81">
        <v>19.563749999999999</v>
      </c>
      <c r="N12" s="96">
        <v>19.563749999999999</v>
      </c>
      <c r="O12" s="64">
        <v>3000</v>
      </c>
      <c r="P12" s="65">
        <f>Table224578910112313[[#This Row],[PEMBULATAN]]*O12</f>
        <v>58691.25</v>
      </c>
    </row>
    <row r="13" spans="1:16" ht="26.25" customHeight="1" x14ac:dyDescent="0.2">
      <c r="A13" s="14"/>
      <c r="B13" s="75"/>
      <c r="C13" s="73" t="s">
        <v>180</v>
      </c>
      <c r="D13" s="78" t="s">
        <v>77</v>
      </c>
      <c r="E13" s="13">
        <v>44500</v>
      </c>
      <c r="F13" s="76" t="s">
        <v>78</v>
      </c>
      <c r="G13" s="13">
        <v>44506</v>
      </c>
      <c r="H13" s="77" t="s">
        <v>188</v>
      </c>
      <c r="I13" s="16">
        <v>80</v>
      </c>
      <c r="J13" s="16">
        <v>42</v>
      </c>
      <c r="K13" s="16">
        <v>60</v>
      </c>
      <c r="L13" s="16">
        <v>31</v>
      </c>
      <c r="M13" s="81">
        <v>50.4</v>
      </c>
      <c r="N13" s="96">
        <v>51</v>
      </c>
      <c r="O13" s="64">
        <v>3000</v>
      </c>
      <c r="P13" s="65">
        <f>Table224578910112313[[#This Row],[PEMBULATAN]]*O13</f>
        <v>153000</v>
      </c>
    </row>
    <row r="14" spans="1:16" ht="26.25" customHeight="1" x14ac:dyDescent="0.2">
      <c r="A14" s="14"/>
      <c r="B14" s="75"/>
      <c r="C14" s="73" t="s">
        <v>181</v>
      </c>
      <c r="D14" s="78" t="s">
        <v>77</v>
      </c>
      <c r="E14" s="13">
        <v>44500</v>
      </c>
      <c r="F14" s="76" t="s">
        <v>78</v>
      </c>
      <c r="G14" s="13">
        <v>44506</v>
      </c>
      <c r="H14" s="77" t="s">
        <v>188</v>
      </c>
      <c r="I14" s="16">
        <v>80</v>
      </c>
      <c r="J14" s="16">
        <v>42</v>
      </c>
      <c r="K14" s="16">
        <v>60</v>
      </c>
      <c r="L14" s="16">
        <v>31</v>
      </c>
      <c r="M14" s="81">
        <v>50.4</v>
      </c>
      <c r="N14" s="96">
        <v>51</v>
      </c>
      <c r="O14" s="64">
        <v>3000</v>
      </c>
      <c r="P14" s="65">
        <f>Table224578910112313[[#This Row],[PEMBULATAN]]*O14</f>
        <v>153000</v>
      </c>
    </row>
    <row r="15" spans="1:16" ht="26.25" customHeight="1" x14ac:dyDescent="0.2">
      <c r="A15" s="14"/>
      <c r="B15" s="75"/>
      <c r="C15" s="73" t="s">
        <v>182</v>
      </c>
      <c r="D15" s="78" t="s">
        <v>77</v>
      </c>
      <c r="E15" s="13">
        <v>44500</v>
      </c>
      <c r="F15" s="76" t="s">
        <v>78</v>
      </c>
      <c r="G15" s="13">
        <v>44506</v>
      </c>
      <c r="H15" s="77" t="s">
        <v>188</v>
      </c>
      <c r="I15" s="16">
        <v>65</v>
      </c>
      <c r="J15" s="16">
        <v>56</v>
      </c>
      <c r="K15" s="16">
        <v>22</v>
      </c>
      <c r="L15" s="16">
        <v>7</v>
      </c>
      <c r="M15" s="81">
        <v>20.02</v>
      </c>
      <c r="N15" s="96">
        <v>20.02</v>
      </c>
      <c r="O15" s="64">
        <v>3000</v>
      </c>
      <c r="P15" s="65">
        <f>Table224578910112313[[#This Row],[PEMBULATAN]]*O15</f>
        <v>60060</v>
      </c>
    </row>
    <row r="16" spans="1:16" ht="26.25" customHeight="1" x14ac:dyDescent="0.2">
      <c r="A16" s="14"/>
      <c r="B16" s="75"/>
      <c r="C16" s="73" t="s">
        <v>183</v>
      </c>
      <c r="D16" s="78" t="s">
        <v>77</v>
      </c>
      <c r="E16" s="13">
        <v>44500</v>
      </c>
      <c r="F16" s="76" t="s">
        <v>78</v>
      </c>
      <c r="G16" s="13">
        <v>44506</v>
      </c>
      <c r="H16" s="77" t="s">
        <v>188</v>
      </c>
      <c r="I16" s="16">
        <v>65</v>
      </c>
      <c r="J16" s="16">
        <v>56</v>
      </c>
      <c r="K16" s="16">
        <v>22</v>
      </c>
      <c r="L16" s="16">
        <v>7</v>
      </c>
      <c r="M16" s="81">
        <v>20.02</v>
      </c>
      <c r="N16" s="96">
        <v>20.02</v>
      </c>
      <c r="O16" s="64">
        <v>3000</v>
      </c>
      <c r="P16" s="65">
        <f>Table224578910112313[[#This Row],[PEMBULATAN]]*O16</f>
        <v>60060</v>
      </c>
    </row>
    <row r="17" spans="1:16" ht="26.25" customHeight="1" x14ac:dyDescent="0.2">
      <c r="A17" s="14"/>
      <c r="B17" s="75"/>
      <c r="C17" s="73" t="s">
        <v>184</v>
      </c>
      <c r="D17" s="78" t="s">
        <v>77</v>
      </c>
      <c r="E17" s="13">
        <v>44500</v>
      </c>
      <c r="F17" s="76" t="s">
        <v>78</v>
      </c>
      <c r="G17" s="13">
        <v>44506</v>
      </c>
      <c r="H17" s="77" t="s">
        <v>188</v>
      </c>
      <c r="I17" s="16">
        <v>65</v>
      </c>
      <c r="J17" s="16">
        <v>56</v>
      </c>
      <c r="K17" s="16">
        <v>22</v>
      </c>
      <c r="L17" s="16">
        <v>7</v>
      </c>
      <c r="M17" s="81">
        <v>20.02</v>
      </c>
      <c r="N17" s="96">
        <v>20.02</v>
      </c>
      <c r="O17" s="64">
        <v>3000</v>
      </c>
      <c r="P17" s="65">
        <f>Table224578910112313[[#This Row],[PEMBULATAN]]*O17</f>
        <v>60060</v>
      </c>
    </row>
    <row r="18" spans="1:16" ht="26.25" customHeight="1" x14ac:dyDescent="0.2">
      <c r="A18" s="14"/>
      <c r="B18" s="75"/>
      <c r="C18" s="73" t="s">
        <v>185</v>
      </c>
      <c r="D18" s="78" t="s">
        <v>77</v>
      </c>
      <c r="E18" s="13">
        <v>44500</v>
      </c>
      <c r="F18" s="76" t="s">
        <v>78</v>
      </c>
      <c r="G18" s="13">
        <v>44506</v>
      </c>
      <c r="H18" s="77" t="s">
        <v>188</v>
      </c>
      <c r="I18" s="16">
        <v>65</v>
      </c>
      <c r="J18" s="16">
        <v>56</v>
      </c>
      <c r="K18" s="16">
        <v>22</v>
      </c>
      <c r="L18" s="16">
        <v>31</v>
      </c>
      <c r="M18" s="81">
        <v>20.02</v>
      </c>
      <c r="N18" s="72">
        <v>31</v>
      </c>
      <c r="O18" s="64">
        <v>3000</v>
      </c>
      <c r="P18" s="65">
        <f>Table224578910112313[[#This Row],[PEMBULATAN]]*O18</f>
        <v>93000</v>
      </c>
    </row>
    <row r="19" spans="1:16" ht="26.25" customHeight="1" x14ac:dyDescent="0.2">
      <c r="A19" s="14"/>
      <c r="B19" s="75"/>
      <c r="C19" s="73" t="s">
        <v>186</v>
      </c>
      <c r="D19" s="78" t="s">
        <v>77</v>
      </c>
      <c r="E19" s="13">
        <v>44500</v>
      </c>
      <c r="F19" s="76" t="s">
        <v>78</v>
      </c>
      <c r="G19" s="13">
        <v>44506</v>
      </c>
      <c r="H19" s="77" t="s">
        <v>188</v>
      </c>
      <c r="I19" s="16">
        <v>65</v>
      </c>
      <c r="J19" s="16">
        <v>56</v>
      </c>
      <c r="K19" s="16">
        <v>22</v>
      </c>
      <c r="L19" s="16">
        <v>31</v>
      </c>
      <c r="M19" s="81">
        <v>20.02</v>
      </c>
      <c r="N19" s="72">
        <v>31</v>
      </c>
      <c r="O19" s="64">
        <v>3000</v>
      </c>
      <c r="P19" s="65">
        <f>Table224578910112313[[#This Row],[PEMBULATAN]]*O19</f>
        <v>93000</v>
      </c>
    </row>
    <row r="20" spans="1:16" ht="26.25" customHeight="1" x14ac:dyDescent="0.2">
      <c r="A20" s="14"/>
      <c r="B20" s="75"/>
      <c r="C20" s="73" t="s">
        <v>187</v>
      </c>
      <c r="D20" s="78" t="s">
        <v>77</v>
      </c>
      <c r="E20" s="13">
        <v>44500</v>
      </c>
      <c r="F20" s="76" t="s">
        <v>78</v>
      </c>
      <c r="G20" s="13">
        <v>44506</v>
      </c>
      <c r="H20" s="77" t="s">
        <v>188</v>
      </c>
      <c r="I20" s="16">
        <v>50</v>
      </c>
      <c r="J20" s="16">
        <v>42</v>
      </c>
      <c r="K20" s="16">
        <v>39</v>
      </c>
      <c r="L20" s="16">
        <v>3</v>
      </c>
      <c r="M20" s="81">
        <v>20.475000000000001</v>
      </c>
      <c r="N20" s="72">
        <v>21</v>
      </c>
      <c r="O20" s="64">
        <v>3000</v>
      </c>
      <c r="P20" s="65">
        <f>Table224578910112313[[#This Row],[PEMBULATAN]]*O20</f>
        <v>63000</v>
      </c>
    </row>
    <row r="21" spans="1:16" ht="22.5" customHeight="1" x14ac:dyDescent="0.2">
      <c r="A21" s="117" t="s">
        <v>30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9"/>
      <c r="M21" s="79">
        <f>SUBTOTAL(109,Table224578910112313[KG VOLUME])</f>
        <v>444.03874999999988</v>
      </c>
      <c r="N21" s="68">
        <f>SUM(N3:N20)</f>
        <v>470.74874999999997</v>
      </c>
      <c r="O21" s="120">
        <f>SUM(P3:P20)</f>
        <v>1412246.25</v>
      </c>
      <c r="P21" s="121"/>
    </row>
    <row r="22" spans="1:16" ht="18" customHeight="1" x14ac:dyDescent="0.2">
      <c r="A22" s="86"/>
      <c r="B22" s="56" t="s">
        <v>42</v>
      </c>
      <c r="C22" s="55"/>
      <c r="D22" s="57" t="s">
        <v>43</v>
      </c>
      <c r="E22" s="86"/>
      <c r="F22" s="86"/>
      <c r="G22" s="86"/>
      <c r="H22" s="86"/>
      <c r="I22" s="86"/>
      <c r="J22" s="86"/>
      <c r="K22" s="86"/>
      <c r="L22" s="86"/>
      <c r="M22" s="87"/>
      <c r="N22" s="88" t="s">
        <v>51</v>
      </c>
      <c r="O22" s="89"/>
      <c r="P22" s="89">
        <f>O21*10%</f>
        <v>141224.625</v>
      </c>
    </row>
    <row r="23" spans="1:16" ht="18" customHeight="1" thickBot="1" x14ac:dyDescent="0.25">
      <c r="A23" s="86"/>
      <c r="B23" s="56"/>
      <c r="C23" s="55"/>
      <c r="D23" s="57"/>
      <c r="E23" s="86"/>
      <c r="F23" s="86"/>
      <c r="G23" s="86"/>
      <c r="H23" s="86"/>
      <c r="I23" s="86"/>
      <c r="J23" s="86"/>
      <c r="K23" s="86"/>
      <c r="L23" s="86"/>
      <c r="M23" s="87"/>
      <c r="N23" s="90" t="s">
        <v>52</v>
      </c>
      <c r="O23" s="91"/>
      <c r="P23" s="91">
        <f>O21-P22</f>
        <v>1271021.625</v>
      </c>
    </row>
    <row r="24" spans="1:16" ht="18" customHeight="1" x14ac:dyDescent="0.2">
      <c r="A24" s="11"/>
      <c r="H24" s="63"/>
      <c r="N24" s="62" t="s">
        <v>31</v>
      </c>
      <c r="P24" s="69">
        <f>P23*1%</f>
        <v>12710.216249999999</v>
      </c>
    </row>
    <row r="25" spans="1:16" ht="18" customHeight="1" thickBot="1" x14ac:dyDescent="0.25">
      <c r="A25" s="11"/>
      <c r="H25" s="63"/>
      <c r="N25" s="62" t="s">
        <v>53</v>
      </c>
      <c r="P25" s="71">
        <f>P23*2%</f>
        <v>25420.432499999999</v>
      </c>
    </row>
    <row r="26" spans="1:16" ht="18" customHeight="1" x14ac:dyDescent="0.2">
      <c r="A26" s="11"/>
      <c r="H26" s="63"/>
      <c r="N26" s="66" t="s">
        <v>32</v>
      </c>
      <c r="O26" s="67"/>
      <c r="P26" s="70">
        <f>P23+P24-P25</f>
        <v>1258311.4087499999</v>
      </c>
    </row>
    <row r="28" spans="1:16" x14ac:dyDescent="0.2">
      <c r="A28" s="11"/>
      <c r="H28" s="63"/>
      <c r="P28" s="71"/>
    </row>
    <row r="29" spans="1:16" x14ac:dyDescent="0.2">
      <c r="A29" s="11"/>
      <c r="H29" s="63"/>
      <c r="O29" s="58"/>
      <c r="P29" s="71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</sheetData>
  <mergeCells count="2">
    <mergeCell ref="A21:L21"/>
    <mergeCell ref="O21:P21"/>
  </mergeCells>
  <conditionalFormatting sqref="B3:B20">
    <cfRule type="duplicateValues" dxfId="15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402241</v>
      </c>
      <c r="B3" s="74" t="s">
        <v>59</v>
      </c>
      <c r="C3" s="9" t="s">
        <v>60</v>
      </c>
      <c r="D3" s="76" t="s">
        <v>77</v>
      </c>
      <c r="E3" s="13">
        <v>44487</v>
      </c>
      <c r="F3" s="76" t="s">
        <v>78</v>
      </c>
      <c r="G3" s="13" t="s">
        <v>79</v>
      </c>
      <c r="H3" s="10" t="s">
        <v>80</v>
      </c>
      <c r="I3" s="1">
        <v>70</v>
      </c>
      <c r="J3" s="1">
        <v>54</v>
      </c>
      <c r="K3" s="1">
        <v>56</v>
      </c>
      <c r="L3" s="1">
        <v>31</v>
      </c>
      <c r="M3" s="80">
        <v>52.92</v>
      </c>
      <c r="N3" s="96">
        <v>52.92</v>
      </c>
      <c r="O3" s="64">
        <v>3000</v>
      </c>
      <c r="P3" s="65">
        <f>Table224578910112[[#This Row],[PEMBULATAN]]*O3</f>
        <v>158760</v>
      </c>
    </row>
    <row r="4" spans="1:16" ht="26.25" customHeight="1" x14ac:dyDescent="0.2">
      <c r="A4" s="14"/>
      <c r="B4" s="75"/>
      <c r="C4" s="73" t="s">
        <v>61</v>
      </c>
      <c r="D4" s="78" t="s">
        <v>77</v>
      </c>
      <c r="E4" s="13">
        <v>44487</v>
      </c>
      <c r="F4" s="76" t="s">
        <v>78</v>
      </c>
      <c r="G4" s="13" t="s">
        <v>79</v>
      </c>
      <c r="H4" s="77" t="s">
        <v>80</v>
      </c>
      <c r="I4" s="16">
        <v>70</v>
      </c>
      <c r="J4" s="16">
        <v>54</v>
      </c>
      <c r="K4" s="16">
        <v>56</v>
      </c>
      <c r="L4" s="16">
        <v>31</v>
      </c>
      <c r="M4" s="81">
        <v>52.92</v>
      </c>
      <c r="N4" s="96">
        <v>52.92</v>
      </c>
      <c r="O4" s="64">
        <v>3000</v>
      </c>
      <c r="P4" s="65">
        <f>Table224578910112[[#This Row],[PEMBULATAN]]*O4</f>
        <v>158760</v>
      </c>
    </row>
    <row r="5" spans="1:16" ht="26.25" customHeight="1" x14ac:dyDescent="0.2">
      <c r="A5" s="14"/>
      <c r="B5" s="75"/>
      <c r="C5" s="73" t="s">
        <v>62</v>
      </c>
      <c r="D5" s="78" t="s">
        <v>77</v>
      </c>
      <c r="E5" s="13">
        <v>44487</v>
      </c>
      <c r="F5" s="76" t="s">
        <v>78</v>
      </c>
      <c r="G5" s="13" t="s">
        <v>79</v>
      </c>
      <c r="H5" s="77" t="s">
        <v>80</v>
      </c>
      <c r="I5" s="16">
        <v>70</v>
      </c>
      <c r="J5" s="16">
        <v>54</v>
      </c>
      <c r="K5" s="16">
        <v>56</v>
      </c>
      <c r="L5" s="16">
        <v>31</v>
      </c>
      <c r="M5" s="81">
        <v>52.92</v>
      </c>
      <c r="N5" s="96">
        <v>52.92</v>
      </c>
      <c r="O5" s="64">
        <v>3000</v>
      </c>
      <c r="P5" s="65">
        <f>Table224578910112[[#This Row],[PEMBULATAN]]*O5</f>
        <v>158760</v>
      </c>
    </row>
    <row r="6" spans="1:16" ht="26.25" customHeight="1" x14ac:dyDescent="0.2">
      <c r="A6" s="14"/>
      <c r="B6" s="75"/>
      <c r="C6" s="73" t="s">
        <v>63</v>
      </c>
      <c r="D6" s="78" t="s">
        <v>77</v>
      </c>
      <c r="E6" s="13">
        <v>44487</v>
      </c>
      <c r="F6" s="76" t="s">
        <v>78</v>
      </c>
      <c r="G6" s="13" t="s">
        <v>79</v>
      </c>
      <c r="H6" s="77" t="s">
        <v>80</v>
      </c>
      <c r="I6" s="16">
        <v>70</v>
      </c>
      <c r="J6" s="16">
        <v>54</v>
      </c>
      <c r="K6" s="16">
        <v>56</v>
      </c>
      <c r="L6" s="16">
        <v>31</v>
      </c>
      <c r="M6" s="81">
        <v>52.92</v>
      </c>
      <c r="N6" s="96">
        <v>52.92</v>
      </c>
      <c r="O6" s="64">
        <v>3000</v>
      </c>
      <c r="P6" s="65">
        <f>Table224578910112[[#This Row],[PEMBULATAN]]*O6</f>
        <v>158760</v>
      </c>
    </row>
    <row r="7" spans="1:16" ht="26.25" customHeight="1" x14ac:dyDescent="0.2">
      <c r="A7" s="14"/>
      <c r="B7" s="75"/>
      <c r="C7" s="73" t="s">
        <v>64</v>
      </c>
      <c r="D7" s="78" t="s">
        <v>77</v>
      </c>
      <c r="E7" s="13">
        <v>44487</v>
      </c>
      <c r="F7" s="76" t="s">
        <v>78</v>
      </c>
      <c r="G7" s="13" t="s">
        <v>79</v>
      </c>
      <c r="H7" s="77" t="s">
        <v>80</v>
      </c>
      <c r="I7" s="16">
        <v>70</v>
      </c>
      <c r="J7" s="16">
        <v>54</v>
      </c>
      <c r="K7" s="16">
        <v>56</v>
      </c>
      <c r="L7" s="16">
        <v>31</v>
      </c>
      <c r="M7" s="81">
        <v>52.92</v>
      </c>
      <c r="N7" s="96">
        <v>52.92</v>
      </c>
      <c r="O7" s="64">
        <v>3000</v>
      </c>
      <c r="P7" s="65">
        <f>Table224578910112[[#This Row],[PEMBULATAN]]*O7</f>
        <v>158760</v>
      </c>
    </row>
    <row r="8" spans="1:16" ht="26.25" customHeight="1" x14ac:dyDescent="0.2">
      <c r="A8" s="14"/>
      <c r="B8" s="75"/>
      <c r="C8" s="73" t="s">
        <v>65</v>
      </c>
      <c r="D8" s="78" t="s">
        <v>77</v>
      </c>
      <c r="E8" s="13">
        <v>44487</v>
      </c>
      <c r="F8" s="76" t="s">
        <v>78</v>
      </c>
      <c r="G8" s="13" t="s">
        <v>79</v>
      </c>
      <c r="H8" s="77" t="s">
        <v>80</v>
      </c>
      <c r="I8" s="16">
        <v>70</v>
      </c>
      <c r="J8" s="16">
        <v>54</v>
      </c>
      <c r="K8" s="16">
        <v>56</v>
      </c>
      <c r="L8" s="16">
        <v>31</v>
      </c>
      <c r="M8" s="81">
        <v>52.92</v>
      </c>
      <c r="N8" s="96">
        <v>52.92</v>
      </c>
      <c r="O8" s="64">
        <v>3000</v>
      </c>
      <c r="P8" s="65">
        <f>Table224578910112[[#This Row],[PEMBULATAN]]*O8</f>
        <v>158760</v>
      </c>
    </row>
    <row r="9" spans="1:16" ht="26.25" customHeight="1" x14ac:dyDescent="0.2">
      <c r="A9" s="14"/>
      <c r="B9" s="75"/>
      <c r="C9" s="73" t="s">
        <v>66</v>
      </c>
      <c r="D9" s="78" t="s">
        <v>77</v>
      </c>
      <c r="E9" s="13">
        <v>44487</v>
      </c>
      <c r="F9" s="76" t="s">
        <v>78</v>
      </c>
      <c r="G9" s="13" t="s">
        <v>79</v>
      </c>
      <c r="H9" s="77" t="s">
        <v>80</v>
      </c>
      <c r="I9" s="16">
        <v>70</v>
      </c>
      <c r="J9" s="16">
        <v>54</v>
      </c>
      <c r="K9" s="16">
        <v>56</v>
      </c>
      <c r="L9" s="16">
        <v>31</v>
      </c>
      <c r="M9" s="81">
        <v>52.92</v>
      </c>
      <c r="N9" s="96">
        <v>52.92</v>
      </c>
      <c r="O9" s="64">
        <v>3000</v>
      </c>
      <c r="P9" s="65">
        <f>Table224578910112[[#This Row],[PEMBULATAN]]*O9</f>
        <v>158760</v>
      </c>
    </row>
    <row r="10" spans="1:16" ht="26.25" customHeight="1" x14ac:dyDescent="0.2">
      <c r="A10" s="14"/>
      <c r="B10" s="75"/>
      <c r="C10" s="73" t="s">
        <v>67</v>
      </c>
      <c r="D10" s="78" t="s">
        <v>77</v>
      </c>
      <c r="E10" s="13">
        <v>44487</v>
      </c>
      <c r="F10" s="76" t="s">
        <v>78</v>
      </c>
      <c r="G10" s="13" t="s">
        <v>79</v>
      </c>
      <c r="H10" s="77" t="s">
        <v>80</v>
      </c>
      <c r="I10" s="16">
        <v>70</v>
      </c>
      <c r="J10" s="16">
        <v>54</v>
      </c>
      <c r="K10" s="16">
        <v>56</v>
      </c>
      <c r="L10" s="16">
        <v>31</v>
      </c>
      <c r="M10" s="81">
        <v>52.92</v>
      </c>
      <c r="N10" s="96">
        <v>52.92</v>
      </c>
      <c r="O10" s="64">
        <v>3000</v>
      </c>
      <c r="P10" s="65">
        <f>Table224578910112[[#This Row],[PEMBULATAN]]*O10</f>
        <v>158760</v>
      </c>
    </row>
    <row r="11" spans="1:16" ht="26.25" customHeight="1" x14ac:dyDescent="0.2">
      <c r="A11" s="14"/>
      <c r="B11" s="75"/>
      <c r="C11" s="73" t="s">
        <v>68</v>
      </c>
      <c r="D11" s="78" t="s">
        <v>77</v>
      </c>
      <c r="E11" s="13">
        <v>44487</v>
      </c>
      <c r="F11" s="76" t="s">
        <v>78</v>
      </c>
      <c r="G11" s="13" t="s">
        <v>79</v>
      </c>
      <c r="H11" s="77" t="s">
        <v>80</v>
      </c>
      <c r="I11" s="16">
        <v>76</v>
      </c>
      <c r="J11" s="16">
        <v>43</v>
      </c>
      <c r="K11" s="16">
        <v>10</v>
      </c>
      <c r="L11" s="16">
        <v>9</v>
      </c>
      <c r="M11" s="81">
        <v>8.17</v>
      </c>
      <c r="N11" s="96">
        <v>9</v>
      </c>
      <c r="O11" s="64">
        <v>3000</v>
      </c>
      <c r="P11" s="65">
        <f>Table224578910112[[#This Row],[PEMBULATAN]]*O11</f>
        <v>27000</v>
      </c>
    </row>
    <row r="12" spans="1:16" ht="26.25" customHeight="1" x14ac:dyDescent="0.2">
      <c r="A12" s="14"/>
      <c r="B12" s="75"/>
      <c r="C12" s="73" t="s">
        <v>69</v>
      </c>
      <c r="D12" s="78" t="s">
        <v>77</v>
      </c>
      <c r="E12" s="13">
        <v>44487</v>
      </c>
      <c r="F12" s="76" t="s">
        <v>78</v>
      </c>
      <c r="G12" s="13" t="s">
        <v>79</v>
      </c>
      <c r="H12" s="77" t="s">
        <v>80</v>
      </c>
      <c r="I12" s="16">
        <v>76</v>
      </c>
      <c r="J12" s="16">
        <v>43</v>
      </c>
      <c r="K12" s="16">
        <v>10</v>
      </c>
      <c r="L12" s="16">
        <v>9</v>
      </c>
      <c r="M12" s="81">
        <v>8.17</v>
      </c>
      <c r="N12" s="96">
        <v>9</v>
      </c>
      <c r="O12" s="64">
        <v>3000</v>
      </c>
      <c r="P12" s="65">
        <f>Table224578910112[[#This Row],[PEMBULATAN]]*O12</f>
        <v>27000</v>
      </c>
    </row>
    <row r="13" spans="1:16" ht="26.25" customHeight="1" x14ac:dyDescent="0.2">
      <c r="A13" s="14"/>
      <c r="B13" s="75"/>
      <c r="C13" s="73" t="s">
        <v>70</v>
      </c>
      <c r="D13" s="78" t="s">
        <v>77</v>
      </c>
      <c r="E13" s="13">
        <v>44487</v>
      </c>
      <c r="F13" s="76" t="s">
        <v>78</v>
      </c>
      <c r="G13" s="13" t="s">
        <v>79</v>
      </c>
      <c r="H13" s="77" t="s">
        <v>80</v>
      </c>
      <c r="I13" s="16">
        <v>76</v>
      </c>
      <c r="J13" s="16">
        <v>43</v>
      </c>
      <c r="K13" s="16">
        <v>10</v>
      </c>
      <c r="L13" s="16">
        <v>9</v>
      </c>
      <c r="M13" s="81">
        <v>8.17</v>
      </c>
      <c r="N13" s="96">
        <v>9</v>
      </c>
      <c r="O13" s="64">
        <v>3000</v>
      </c>
      <c r="P13" s="65">
        <f>Table224578910112[[#This Row],[PEMBULATAN]]*O13</f>
        <v>27000</v>
      </c>
    </row>
    <row r="14" spans="1:16" ht="26.25" customHeight="1" x14ac:dyDescent="0.2">
      <c r="A14" s="14"/>
      <c r="B14" s="75"/>
      <c r="C14" s="73" t="s">
        <v>71</v>
      </c>
      <c r="D14" s="78" t="s">
        <v>77</v>
      </c>
      <c r="E14" s="13">
        <v>44487</v>
      </c>
      <c r="F14" s="76" t="s">
        <v>78</v>
      </c>
      <c r="G14" s="13" t="s">
        <v>79</v>
      </c>
      <c r="H14" s="77" t="s">
        <v>80</v>
      </c>
      <c r="I14" s="16">
        <v>45</v>
      </c>
      <c r="J14" s="16">
        <v>22</v>
      </c>
      <c r="K14" s="16">
        <v>14</v>
      </c>
      <c r="L14" s="16">
        <v>10</v>
      </c>
      <c r="M14" s="81">
        <v>3.4649999999999999</v>
      </c>
      <c r="N14" s="96">
        <v>10</v>
      </c>
      <c r="O14" s="64">
        <v>3000</v>
      </c>
      <c r="P14" s="65">
        <f>Table224578910112[[#This Row],[PEMBULATAN]]*O14</f>
        <v>30000</v>
      </c>
    </row>
    <row r="15" spans="1:16" ht="26.25" customHeight="1" x14ac:dyDescent="0.2">
      <c r="A15" s="14"/>
      <c r="B15" s="75"/>
      <c r="C15" s="73" t="s">
        <v>72</v>
      </c>
      <c r="D15" s="78" t="s">
        <v>77</v>
      </c>
      <c r="E15" s="13">
        <v>44487</v>
      </c>
      <c r="F15" s="76" t="s">
        <v>78</v>
      </c>
      <c r="G15" s="13" t="s">
        <v>79</v>
      </c>
      <c r="H15" s="77" t="s">
        <v>80</v>
      </c>
      <c r="I15" s="16">
        <v>33</v>
      </c>
      <c r="J15" s="16">
        <v>48</v>
      </c>
      <c r="K15" s="16">
        <v>33</v>
      </c>
      <c r="L15" s="16">
        <v>4</v>
      </c>
      <c r="M15" s="81">
        <v>13.068</v>
      </c>
      <c r="N15" s="96">
        <v>13.068</v>
      </c>
      <c r="O15" s="64">
        <v>3000</v>
      </c>
      <c r="P15" s="65">
        <f>Table224578910112[[#This Row],[PEMBULATAN]]*O15</f>
        <v>39204</v>
      </c>
    </row>
    <row r="16" spans="1:16" ht="26.25" customHeight="1" x14ac:dyDescent="0.2">
      <c r="A16" s="14"/>
      <c r="B16" s="75"/>
      <c r="C16" s="73" t="s">
        <v>73</v>
      </c>
      <c r="D16" s="78" t="s">
        <v>77</v>
      </c>
      <c r="E16" s="13">
        <v>44487</v>
      </c>
      <c r="F16" s="76" t="s">
        <v>78</v>
      </c>
      <c r="G16" s="13" t="s">
        <v>79</v>
      </c>
      <c r="H16" s="77" t="s">
        <v>80</v>
      </c>
      <c r="I16" s="16">
        <v>47</v>
      </c>
      <c r="J16" s="16">
        <v>43</v>
      </c>
      <c r="K16" s="16">
        <v>37</v>
      </c>
      <c r="L16" s="16">
        <v>14</v>
      </c>
      <c r="M16" s="81">
        <v>18.69425</v>
      </c>
      <c r="N16" s="96">
        <v>18.69425</v>
      </c>
      <c r="O16" s="64">
        <v>3000</v>
      </c>
      <c r="P16" s="65">
        <f>Table224578910112[[#This Row],[PEMBULATAN]]*O16</f>
        <v>56082.75</v>
      </c>
    </row>
    <row r="17" spans="1:16" ht="26.25" customHeight="1" x14ac:dyDescent="0.2">
      <c r="A17" s="14"/>
      <c r="B17" s="75"/>
      <c r="C17" s="9" t="s">
        <v>74</v>
      </c>
      <c r="D17" s="76" t="s">
        <v>77</v>
      </c>
      <c r="E17" s="13">
        <v>44487</v>
      </c>
      <c r="F17" s="76" t="s">
        <v>78</v>
      </c>
      <c r="G17" s="13" t="s">
        <v>79</v>
      </c>
      <c r="H17" s="10" t="s">
        <v>80</v>
      </c>
      <c r="I17" s="1">
        <v>33</v>
      </c>
      <c r="J17" s="1">
        <v>48</v>
      </c>
      <c r="K17" s="1">
        <v>33</v>
      </c>
      <c r="L17" s="1">
        <v>4</v>
      </c>
      <c r="M17" s="80">
        <v>13.068</v>
      </c>
      <c r="N17" s="96">
        <v>13.068</v>
      </c>
      <c r="O17" s="64">
        <v>3000</v>
      </c>
      <c r="P17" s="65">
        <f>Table224578910112[[#This Row],[PEMBULATAN]]*O17</f>
        <v>39204</v>
      </c>
    </row>
    <row r="18" spans="1:16" ht="26.25" customHeight="1" x14ac:dyDescent="0.2">
      <c r="A18" s="14"/>
      <c r="B18" s="14"/>
      <c r="C18" s="9" t="s">
        <v>75</v>
      </c>
      <c r="D18" s="76" t="s">
        <v>77</v>
      </c>
      <c r="E18" s="13">
        <v>44487</v>
      </c>
      <c r="F18" s="76" t="s">
        <v>78</v>
      </c>
      <c r="G18" s="13" t="s">
        <v>79</v>
      </c>
      <c r="H18" s="10" t="s">
        <v>80</v>
      </c>
      <c r="I18" s="1">
        <v>70</v>
      </c>
      <c r="J18" s="1">
        <v>54</v>
      </c>
      <c r="K18" s="1">
        <v>56</v>
      </c>
      <c r="L18" s="1">
        <v>31</v>
      </c>
      <c r="M18" s="80">
        <v>52.92</v>
      </c>
      <c r="N18" s="96">
        <v>52.92</v>
      </c>
      <c r="O18" s="64">
        <v>3000</v>
      </c>
      <c r="P18" s="65">
        <f>Table224578910112[[#This Row],[PEMBULATAN]]*O18</f>
        <v>158760</v>
      </c>
    </row>
    <row r="19" spans="1:16" ht="26.25" customHeight="1" x14ac:dyDescent="0.2">
      <c r="A19" s="14"/>
      <c r="B19" s="14"/>
      <c r="C19" s="73" t="s">
        <v>76</v>
      </c>
      <c r="D19" s="78" t="s">
        <v>77</v>
      </c>
      <c r="E19" s="13">
        <v>44487</v>
      </c>
      <c r="F19" s="76" t="s">
        <v>78</v>
      </c>
      <c r="G19" s="13" t="s">
        <v>79</v>
      </c>
      <c r="H19" s="77" t="s">
        <v>80</v>
      </c>
      <c r="I19" s="16">
        <v>37</v>
      </c>
      <c r="J19" s="16">
        <v>33</v>
      </c>
      <c r="K19" s="16">
        <v>56</v>
      </c>
      <c r="L19" s="16">
        <v>14</v>
      </c>
      <c r="M19" s="81">
        <v>17.094000000000001</v>
      </c>
      <c r="N19" s="96">
        <v>17.094000000000001</v>
      </c>
      <c r="O19" s="64">
        <v>3000</v>
      </c>
      <c r="P19" s="65">
        <f>Table224578910112[[#This Row],[PEMBULATAN]]*O19</f>
        <v>51282</v>
      </c>
    </row>
    <row r="20" spans="1:16" ht="22.5" customHeight="1" x14ac:dyDescent="0.2">
      <c r="A20" s="117" t="s">
        <v>30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9"/>
      <c r="M20" s="79">
        <f>SUBTOTAL(109,Table224578910112[KG VOLUME])</f>
        <v>566.17925000000014</v>
      </c>
      <c r="N20" s="68">
        <f>SUM(N3:N19)</f>
        <v>575.20425000000012</v>
      </c>
      <c r="O20" s="120">
        <f>SUM(P3:P19)</f>
        <v>1725612.75</v>
      </c>
      <c r="P20" s="121"/>
    </row>
    <row r="21" spans="1:16" ht="18" customHeight="1" x14ac:dyDescent="0.2">
      <c r="A21" s="86"/>
      <c r="B21" s="56" t="s">
        <v>42</v>
      </c>
      <c r="C21" s="55"/>
      <c r="D21" s="57" t="s">
        <v>43</v>
      </c>
      <c r="E21" s="86"/>
      <c r="F21" s="86"/>
      <c r="G21" s="86"/>
      <c r="H21" s="86"/>
      <c r="I21" s="86"/>
      <c r="J21" s="86"/>
      <c r="K21" s="86"/>
      <c r="L21" s="86"/>
      <c r="M21" s="87"/>
      <c r="N21" s="88" t="s">
        <v>51</v>
      </c>
      <c r="O21" s="89"/>
      <c r="P21" s="89">
        <f>O20*10%</f>
        <v>172561.27500000002</v>
      </c>
    </row>
    <row r="22" spans="1:16" ht="18" customHeight="1" thickBot="1" x14ac:dyDescent="0.25">
      <c r="A22" s="86"/>
      <c r="B22" s="56"/>
      <c r="C22" s="55"/>
      <c r="D22" s="57"/>
      <c r="E22" s="86"/>
      <c r="F22" s="86"/>
      <c r="G22" s="86"/>
      <c r="H22" s="86"/>
      <c r="I22" s="86"/>
      <c r="J22" s="86"/>
      <c r="K22" s="86"/>
      <c r="L22" s="86"/>
      <c r="M22" s="87"/>
      <c r="N22" s="90" t="s">
        <v>52</v>
      </c>
      <c r="O22" s="91"/>
      <c r="P22" s="91">
        <f>O20-P21</f>
        <v>1553051.4750000001</v>
      </c>
    </row>
    <row r="23" spans="1:16" ht="18" customHeight="1" x14ac:dyDescent="0.2">
      <c r="A23" s="11"/>
      <c r="H23" s="63"/>
      <c r="N23" s="62" t="s">
        <v>31</v>
      </c>
      <c r="P23" s="69">
        <f>P22*1%</f>
        <v>15530.514750000002</v>
      </c>
    </row>
    <row r="24" spans="1:16" ht="18" customHeight="1" thickBot="1" x14ac:dyDescent="0.25">
      <c r="A24" s="11"/>
      <c r="H24" s="63"/>
      <c r="N24" s="62" t="s">
        <v>53</v>
      </c>
      <c r="P24" s="71">
        <f>P22*2%</f>
        <v>31061.029500000004</v>
      </c>
    </row>
    <row r="25" spans="1:16" ht="18" customHeight="1" x14ac:dyDescent="0.2">
      <c r="A25" s="11"/>
      <c r="H25" s="63"/>
      <c r="N25" s="66" t="s">
        <v>32</v>
      </c>
      <c r="O25" s="67"/>
      <c r="P25" s="70">
        <f>P22+P23-P24</f>
        <v>1537520.9602500002</v>
      </c>
    </row>
    <row r="27" spans="1:16" x14ac:dyDescent="0.2">
      <c r="A27" s="11"/>
      <c r="H27" s="63"/>
      <c r="P27" s="71"/>
    </row>
    <row r="28" spans="1:16" x14ac:dyDescent="0.2">
      <c r="A28" s="11"/>
      <c r="H28" s="63"/>
      <c r="O28" s="58"/>
      <c r="P28" s="71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</sheetData>
  <mergeCells count="2">
    <mergeCell ref="A20:L20"/>
    <mergeCell ref="O20:P20"/>
  </mergeCells>
  <conditionalFormatting sqref="B3:B16">
    <cfRule type="duplicateValues" dxfId="206" priority="2"/>
  </conditionalFormatting>
  <conditionalFormatting sqref="B17">
    <cfRule type="duplicateValues" dxfId="205" priority="1"/>
  </conditionalFormatting>
  <conditionalFormatting sqref="B18:B19">
    <cfRule type="duplicateValues" dxfId="204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402544</v>
      </c>
      <c r="B3" s="97" t="s">
        <v>81</v>
      </c>
      <c r="C3" s="9" t="s">
        <v>82</v>
      </c>
      <c r="D3" s="76" t="s">
        <v>77</v>
      </c>
      <c r="E3" s="13">
        <v>44488</v>
      </c>
      <c r="F3" s="76" t="s">
        <v>78</v>
      </c>
      <c r="G3" s="13" t="s">
        <v>79</v>
      </c>
      <c r="H3" s="10" t="s">
        <v>80</v>
      </c>
      <c r="I3" s="1">
        <v>75</v>
      </c>
      <c r="J3" s="1">
        <v>60</v>
      </c>
      <c r="K3" s="1">
        <v>43</v>
      </c>
      <c r="L3" s="1">
        <v>31</v>
      </c>
      <c r="M3" s="80">
        <v>48.375</v>
      </c>
      <c r="N3" s="8">
        <v>49</v>
      </c>
      <c r="O3" s="64">
        <v>3000</v>
      </c>
      <c r="P3" s="65">
        <f>Table2245789101123[[#This Row],[PEMBULATAN]]*O3</f>
        <v>147000</v>
      </c>
    </row>
    <row r="4" spans="1:16" ht="26.25" customHeight="1" x14ac:dyDescent="0.2">
      <c r="A4" s="14"/>
      <c r="B4" s="75" t="s">
        <v>83</v>
      </c>
      <c r="C4" s="9" t="s">
        <v>84</v>
      </c>
      <c r="D4" s="76" t="s">
        <v>77</v>
      </c>
      <c r="E4" s="13">
        <v>44488</v>
      </c>
      <c r="F4" s="76" t="s">
        <v>78</v>
      </c>
      <c r="G4" s="13" t="s">
        <v>79</v>
      </c>
      <c r="H4" s="10" t="s">
        <v>80</v>
      </c>
      <c r="I4" s="1">
        <v>75</v>
      </c>
      <c r="J4" s="1">
        <v>60</v>
      </c>
      <c r="K4" s="1">
        <v>43</v>
      </c>
      <c r="L4" s="1">
        <v>31</v>
      </c>
      <c r="M4" s="80">
        <v>48.375</v>
      </c>
      <c r="N4" s="8">
        <v>49</v>
      </c>
      <c r="O4" s="64">
        <v>3000</v>
      </c>
      <c r="P4" s="65">
        <f>Table2245789101123[[#This Row],[PEMBULATAN]]*O4</f>
        <v>147000</v>
      </c>
    </row>
    <row r="5" spans="1:16" ht="26.25" customHeight="1" x14ac:dyDescent="0.2">
      <c r="A5" s="14"/>
      <c r="B5" s="14"/>
      <c r="C5" s="9" t="s">
        <v>85</v>
      </c>
      <c r="D5" s="76" t="s">
        <v>77</v>
      </c>
      <c r="E5" s="13">
        <v>44488</v>
      </c>
      <c r="F5" s="76" t="s">
        <v>78</v>
      </c>
      <c r="G5" s="13" t="s">
        <v>79</v>
      </c>
      <c r="H5" s="10" t="s">
        <v>80</v>
      </c>
      <c r="I5" s="1">
        <v>75</v>
      </c>
      <c r="J5" s="1">
        <v>60</v>
      </c>
      <c r="K5" s="1">
        <v>43</v>
      </c>
      <c r="L5" s="1">
        <v>31</v>
      </c>
      <c r="M5" s="80">
        <v>48.375</v>
      </c>
      <c r="N5" s="8">
        <v>49</v>
      </c>
      <c r="O5" s="64">
        <v>3000</v>
      </c>
      <c r="P5" s="65">
        <f>Table2245789101123[[#This Row],[PEMBULATAN]]*O5</f>
        <v>147000</v>
      </c>
    </row>
    <row r="6" spans="1:16" ht="26.25" customHeight="1" x14ac:dyDescent="0.2">
      <c r="A6" s="14"/>
      <c r="B6" s="14"/>
      <c r="C6" s="73" t="s">
        <v>86</v>
      </c>
      <c r="D6" s="78" t="s">
        <v>77</v>
      </c>
      <c r="E6" s="13">
        <v>44488</v>
      </c>
      <c r="F6" s="76" t="s">
        <v>78</v>
      </c>
      <c r="G6" s="13" t="s">
        <v>79</v>
      </c>
      <c r="H6" s="77" t="s">
        <v>80</v>
      </c>
      <c r="I6" s="16">
        <v>75</v>
      </c>
      <c r="J6" s="16">
        <v>60</v>
      </c>
      <c r="K6" s="16">
        <v>43</v>
      </c>
      <c r="L6" s="16">
        <v>31</v>
      </c>
      <c r="M6" s="81">
        <v>48.375</v>
      </c>
      <c r="N6" s="72">
        <v>49</v>
      </c>
      <c r="O6" s="64">
        <v>3000</v>
      </c>
      <c r="P6" s="65">
        <f>Table2245789101123[[#This Row],[PEMBULATAN]]*O6</f>
        <v>147000</v>
      </c>
    </row>
    <row r="7" spans="1:16" ht="26.25" customHeight="1" x14ac:dyDescent="0.2">
      <c r="A7" s="14"/>
      <c r="B7" s="14"/>
      <c r="C7" s="73" t="s">
        <v>87</v>
      </c>
      <c r="D7" s="78" t="s">
        <v>77</v>
      </c>
      <c r="E7" s="13">
        <v>44488</v>
      </c>
      <c r="F7" s="76" t="s">
        <v>78</v>
      </c>
      <c r="G7" s="13" t="s">
        <v>79</v>
      </c>
      <c r="H7" s="77" t="s">
        <v>80</v>
      </c>
      <c r="I7" s="16">
        <v>75</v>
      </c>
      <c r="J7" s="16">
        <v>60</v>
      </c>
      <c r="K7" s="16">
        <v>43</v>
      </c>
      <c r="L7" s="16">
        <v>31</v>
      </c>
      <c r="M7" s="81">
        <v>48.375</v>
      </c>
      <c r="N7" s="72">
        <v>49</v>
      </c>
      <c r="O7" s="64">
        <v>3000</v>
      </c>
      <c r="P7" s="65">
        <f>Table2245789101123[[#This Row],[PEMBULATAN]]*O7</f>
        <v>147000</v>
      </c>
    </row>
    <row r="8" spans="1:16" ht="26.25" customHeight="1" x14ac:dyDescent="0.2">
      <c r="A8" s="14"/>
      <c r="B8" s="14"/>
      <c r="C8" s="73" t="s">
        <v>88</v>
      </c>
      <c r="D8" s="78" t="s">
        <v>77</v>
      </c>
      <c r="E8" s="13">
        <v>44488</v>
      </c>
      <c r="F8" s="76" t="s">
        <v>78</v>
      </c>
      <c r="G8" s="13" t="s">
        <v>79</v>
      </c>
      <c r="H8" s="77" t="s">
        <v>80</v>
      </c>
      <c r="I8" s="16">
        <v>75</v>
      </c>
      <c r="J8" s="16">
        <v>60</v>
      </c>
      <c r="K8" s="16">
        <v>43</v>
      </c>
      <c r="L8" s="16">
        <v>31</v>
      </c>
      <c r="M8" s="81">
        <v>48.375</v>
      </c>
      <c r="N8" s="72">
        <v>49</v>
      </c>
      <c r="O8" s="64">
        <v>3000</v>
      </c>
      <c r="P8" s="65">
        <f>Table2245789101123[[#This Row],[PEMBULATAN]]*O8</f>
        <v>147000</v>
      </c>
    </row>
    <row r="9" spans="1:16" ht="26.25" customHeight="1" x14ac:dyDescent="0.2">
      <c r="A9" s="14"/>
      <c r="B9" s="14"/>
      <c r="C9" s="73" t="s">
        <v>89</v>
      </c>
      <c r="D9" s="78" t="s">
        <v>77</v>
      </c>
      <c r="E9" s="13">
        <v>44488</v>
      </c>
      <c r="F9" s="76" t="s">
        <v>78</v>
      </c>
      <c r="G9" s="13" t="s">
        <v>79</v>
      </c>
      <c r="H9" s="77" t="s">
        <v>80</v>
      </c>
      <c r="I9" s="16">
        <v>75</v>
      </c>
      <c r="J9" s="16">
        <v>60</v>
      </c>
      <c r="K9" s="16">
        <v>43</v>
      </c>
      <c r="L9" s="16">
        <v>31</v>
      </c>
      <c r="M9" s="81">
        <v>48.375</v>
      </c>
      <c r="N9" s="72">
        <v>49</v>
      </c>
      <c r="O9" s="64">
        <v>3000</v>
      </c>
      <c r="P9" s="65">
        <f>Table2245789101123[[#This Row],[PEMBULATAN]]*O9</f>
        <v>147000</v>
      </c>
    </row>
    <row r="10" spans="1:16" ht="22.5" customHeight="1" x14ac:dyDescent="0.2">
      <c r="A10" s="117" t="s">
        <v>30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9"/>
      <c r="M10" s="79">
        <f>SUBTOTAL(109,Table2245789101123[KG VOLUME])</f>
        <v>338.625</v>
      </c>
      <c r="N10" s="68">
        <f>SUM(N3:N9)</f>
        <v>343</v>
      </c>
      <c r="O10" s="120">
        <f>SUM(P3:P9)</f>
        <v>1029000</v>
      </c>
      <c r="P10" s="121"/>
    </row>
    <row r="11" spans="1:16" ht="18" customHeight="1" x14ac:dyDescent="0.2">
      <c r="A11" s="86"/>
      <c r="B11" s="56" t="s">
        <v>42</v>
      </c>
      <c r="C11" s="55"/>
      <c r="D11" s="57" t="s">
        <v>43</v>
      </c>
      <c r="E11" s="86"/>
      <c r="F11" s="86"/>
      <c r="G11" s="86"/>
      <c r="H11" s="86"/>
      <c r="I11" s="86"/>
      <c r="J11" s="86"/>
      <c r="K11" s="86"/>
      <c r="L11" s="86"/>
      <c r="M11" s="87"/>
      <c r="N11" s="88" t="s">
        <v>51</v>
      </c>
      <c r="O11" s="89"/>
      <c r="P11" s="89">
        <f>O10*10%</f>
        <v>102900</v>
      </c>
    </row>
    <row r="12" spans="1:16" ht="18" customHeight="1" thickBot="1" x14ac:dyDescent="0.25">
      <c r="A12" s="86"/>
      <c r="B12" s="56"/>
      <c r="C12" s="55"/>
      <c r="D12" s="57"/>
      <c r="E12" s="86"/>
      <c r="F12" s="86"/>
      <c r="G12" s="86"/>
      <c r="H12" s="86"/>
      <c r="I12" s="86"/>
      <c r="J12" s="86"/>
      <c r="K12" s="86"/>
      <c r="L12" s="86"/>
      <c r="M12" s="87"/>
      <c r="N12" s="90" t="s">
        <v>52</v>
      </c>
      <c r="O12" s="91"/>
      <c r="P12" s="91">
        <f>O10-P11</f>
        <v>926100</v>
      </c>
    </row>
    <row r="13" spans="1:16" ht="18" customHeight="1" x14ac:dyDescent="0.2">
      <c r="A13" s="11"/>
      <c r="H13" s="63"/>
      <c r="N13" s="62" t="s">
        <v>31</v>
      </c>
      <c r="P13" s="69">
        <f>P12*1%</f>
        <v>9261</v>
      </c>
    </row>
    <row r="14" spans="1:16" ht="18" customHeight="1" thickBot="1" x14ac:dyDescent="0.25">
      <c r="A14" s="11"/>
      <c r="H14" s="63"/>
      <c r="N14" s="62" t="s">
        <v>53</v>
      </c>
      <c r="P14" s="71">
        <f>P12*2%</f>
        <v>18522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916839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188" priority="2"/>
  </conditionalFormatting>
  <conditionalFormatting sqref="B4">
    <cfRule type="duplicateValues" dxfId="187" priority="1"/>
  </conditionalFormatting>
  <conditionalFormatting sqref="B5:B9">
    <cfRule type="duplicateValues" dxfId="186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401489</v>
      </c>
      <c r="B3" s="74" t="s">
        <v>90</v>
      </c>
      <c r="C3" s="9" t="s">
        <v>91</v>
      </c>
      <c r="D3" s="76" t="s">
        <v>77</v>
      </c>
      <c r="E3" s="13">
        <v>44489</v>
      </c>
      <c r="F3" s="76" t="s">
        <v>78</v>
      </c>
      <c r="G3" s="13" t="s">
        <v>79</v>
      </c>
      <c r="H3" s="10" t="s">
        <v>80</v>
      </c>
      <c r="I3" s="1">
        <v>76</v>
      </c>
      <c r="J3" s="1">
        <v>62</v>
      </c>
      <c r="K3" s="1">
        <v>41</v>
      </c>
      <c r="L3" s="1">
        <v>31</v>
      </c>
      <c r="M3" s="80">
        <v>48.298000000000002</v>
      </c>
      <c r="N3" s="8">
        <v>49</v>
      </c>
      <c r="O3" s="64">
        <v>3000</v>
      </c>
      <c r="P3" s="65">
        <f>Table22457891011234[[#This Row],[PEMBULATAN]]*O3</f>
        <v>147000</v>
      </c>
    </row>
    <row r="4" spans="1:16" ht="26.25" customHeight="1" x14ac:dyDescent="0.2">
      <c r="A4" s="14"/>
      <c r="B4" s="98"/>
      <c r="C4" s="73" t="s">
        <v>92</v>
      </c>
      <c r="D4" s="78" t="s">
        <v>77</v>
      </c>
      <c r="E4" s="13">
        <v>44489</v>
      </c>
      <c r="F4" s="76" t="s">
        <v>78</v>
      </c>
      <c r="G4" s="13" t="s">
        <v>79</v>
      </c>
      <c r="H4" s="77" t="s">
        <v>80</v>
      </c>
      <c r="I4" s="16">
        <v>76</v>
      </c>
      <c r="J4" s="16">
        <v>62</v>
      </c>
      <c r="K4" s="16">
        <v>41</v>
      </c>
      <c r="L4" s="16">
        <v>31</v>
      </c>
      <c r="M4" s="81">
        <v>48.298000000000002</v>
      </c>
      <c r="N4" s="72">
        <v>49</v>
      </c>
      <c r="O4" s="64">
        <v>3000</v>
      </c>
      <c r="P4" s="65">
        <f>Table22457891011234[[#This Row],[PEMBULATAN]]*O4</f>
        <v>147000</v>
      </c>
    </row>
    <row r="5" spans="1:16" ht="26.25" customHeight="1" x14ac:dyDescent="0.2">
      <c r="A5" s="14"/>
      <c r="B5" s="75" t="s">
        <v>93</v>
      </c>
      <c r="C5" s="73" t="s">
        <v>94</v>
      </c>
      <c r="D5" s="78" t="s">
        <v>77</v>
      </c>
      <c r="E5" s="13">
        <v>44489</v>
      </c>
      <c r="F5" s="76" t="s">
        <v>78</v>
      </c>
      <c r="G5" s="13" t="s">
        <v>79</v>
      </c>
      <c r="H5" s="77" t="s">
        <v>80</v>
      </c>
      <c r="I5" s="16">
        <v>76</v>
      </c>
      <c r="J5" s="16">
        <v>62</v>
      </c>
      <c r="K5" s="16">
        <v>41</v>
      </c>
      <c r="L5" s="16">
        <v>31</v>
      </c>
      <c r="M5" s="81">
        <v>48.298000000000002</v>
      </c>
      <c r="N5" s="72">
        <v>49</v>
      </c>
      <c r="O5" s="64">
        <v>3000</v>
      </c>
      <c r="P5" s="65">
        <f>Table22457891011234[[#This Row],[PEMBULATAN]]*O5</f>
        <v>147000</v>
      </c>
    </row>
    <row r="6" spans="1:16" ht="26.25" customHeight="1" x14ac:dyDescent="0.2">
      <c r="A6" s="14"/>
      <c r="B6" s="75"/>
      <c r="C6" s="73" t="s">
        <v>95</v>
      </c>
      <c r="D6" s="78" t="s">
        <v>77</v>
      </c>
      <c r="E6" s="13">
        <v>44489</v>
      </c>
      <c r="F6" s="76" t="s">
        <v>78</v>
      </c>
      <c r="G6" s="13" t="s">
        <v>79</v>
      </c>
      <c r="H6" s="77" t="s">
        <v>80</v>
      </c>
      <c r="I6" s="16">
        <v>76</v>
      </c>
      <c r="J6" s="16">
        <v>62</v>
      </c>
      <c r="K6" s="16">
        <v>41</v>
      </c>
      <c r="L6" s="16">
        <v>31</v>
      </c>
      <c r="M6" s="81">
        <v>48.298000000000002</v>
      </c>
      <c r="N6" s="72">
        <v>49</v>
      </c>
      <c r="O6" s="64">
        <v>3000</v>
      </c>
      <c r="P6" s="65">
        <f>Table22457891011234[[#This Row],[PEMBULATAN]]*O6</f>
        <v>147000</v>
      </c>
    </row>
    <row r="7" spans="1:16" ht="26.25" customHeight="1" x14ac:dyDescent="0.2">
      <c r="A7" s="14"/>
      <c r="B7" s="75"/>
      <c r="C7" s="73" t="s">
        <v>96</v>
      </c>
      <c r="D7" s="78" t="s">
        <v>77</v>
      </c>
      <c r="E7" s="13">
        <v>44489</v>
      </c>
      <c r="F7" s="76" t="s">
        <v>78</v>
      </c>
      <c r="G7" s="13" t="s">
        <v>79</v>
      </c>
      <c r="H7" s="77" t="s">
        <v>80</v>
      </c>
      <c r="I7" s="16">
        <v>76</v>
      </c>
      <c r="J7" s="16">
        <v>62</v>
      </c>
      <c r="K7" s="16">
        <v>41</v>
      </c>
      <c r="L7" s="16">
        <v>31</v>
      </c>
      <c r="M7" s="81">
        <v>48.298000000000002</v>
      </c>
      <c r="N7" s="72">
        <v>49</v>
      </c>
      <c r="O7" s="64">
        <v>3000</v>
      </c>
      <c r="P7" s="65">
        <f>Table22457891011234[[#This Row],[PEMBULATAN]]*O7</f>
        <v>147000</v>
      </c>
    </row>
    <row r="8" spans="1:16" ht="26.25" customHeight="1" x14ac:dyDescent="0.2">
      <c r="A8" s="14"/>
      <c r="B8" s="75"/>
      <c r="C8" s="73" t="s">
        <v>97</v>
      </c>
      <c r="D8" s="78" t="s">
        <v>77</v>
      </c>
      <c r="E8" s="13">
        <v>44489</v>
      </c>
      <c r="F8" s="76" t="s">
        <v>78</v>
      </c>
      <c r="G8" s="13" t="s">
        <v>79</v>
      </c>
      <c r="H8" s="77" t="s">
        <v>80</v>
      </c>
      <c r="I8" s="16">
        <v>76</v>
      </c>
      <c r="J8" s="16">
        <v>62</v>
      </c>
      <c r="K8" s="16">
        <v>41</v>
      </c>
      <c r="L8" s="16">
        <v>31</v>
      </c>
      <c r="M8" s="81">
        <v>48.298000000000002</v>
      </c>
      <c r="N8" s="72">
        <v>49</v>
      </c>
      <c r="O8" s="64">
        <v>3000</v>
      </c>
      <c r="P8" s="65">
        <f>Table22457891011234[[#This Row],[PEMBULATAN]]*O8</f>
        <v>147000</v>
      </c>
    </row>
    <row r="9" spans="1:16" ht="26.25" customHeight="1" x14ac:dyDescent="0.2">
      <c r="A9" s="14"/>
      <c r="B9" s="75"/>
      <c r="C9" s="73" t="s">
        <v>98</v>
      </c>
      <c r="D9" s="78" t="s">
        <v>77</v>
      </c>
      <c r="E9" s="13">
        <v>44489</v>
      </c>
      <c r="F9" s="76" t="s">
        <v>78</v>
      </c>
      <c r="G9" s="13" t="s">
        <v>79</v>
      </c>
      <c r="H9" s="77" t="s">
        <v>80</v>
      </c>
      <c r="I9" s="16">
        <v>76</v>
      </c>
      <c r="J9" s="16">
        <v>62</v>
      </c>
      <c r="K9" s="16">
        <v>41</v>
      </c>
      <c r="L9" s="16">
        <v>31</v>
      </c>
      <c r="M9" s="81">
        <v>48.298000000000002</v>
      </c>
      <c r="N9" s="72">
        <v>49</v>
      </c>
      <c r="O9" s="64">
        <v>3000</v>
      </c>
      <c r="P9" s="65">
        <f>Table22457891011234[[#This Row],[PEMBULATAN]]*O9</f>
        <v>147000</v>
      </c>
    </row>
    <row r="10" spans="1:16" ht="26.25" customHeight="1" x14ac:dyDescent="0.2">
      <c r="A10" s="14"/>
      <c r="B10" s="75"/>
      <c r="C10" s="73" t="s">
        <v>99</v>
      </c>
      <c r="D10" s="78" t="s">
        <v>77</v>
      </c>
      <c r="E10" s="13">
        <v>44489</v>
      </c>
      <c r="F10" s="76" t="s">
        <v>78</v>
      </c>
      <c r="G10" s="13" t="s">
        <v>79</v>
      </c>
      <c r="H10" s="77" t="s">
        <v>80</v>
      </c>
      <c r="I10" s="16">
        <v>92</v>
      </c>
      <c r="J10" s="16">
        <v>72</v>
      </c>
      <c r="K10" s="16">
        <v>34</v>
      </c>
      <c r="L10" s="16">
        <v>4</v>
      </c>
      <c r="M10" s="81">
        <v>56.304000000000002</v>
      </c>
      <c r="N10" s="96">
        <v>56.304000000000002</v>
      </c>
      <c r="O10" s="64">
        <v>3000</v>
      </c>
      <c r="P10" s="65">
        <f>Table22457891011234[[#This Row],[PEMBULATAN]]*O10</f>
        <v>168912</v>
      </c>
    </row>
    <row r="11" spans="1:16" ht="26.25" customHeight="1" x14ac:dyDescent="0.2">
      <c r="A11" s="14"/>
      <c r="B11" s="75"/>
      <c r="C11" s="73" t="s">
        <v>100</v>
      </c>
      <c r="D11" s="78" t="s">
        <v>77</v>
      </c>
      <c r="E11" s="13">
        <v>44489</v>
      </c>
      <c r="F11" s="76" t="s">
        <v>78</v>
      </c>
      <c r="G11" s="13" t="s">
        <v>79</v>
      </c>
      <c r="H11" s="77" t="s">
        <v>80</v>
      </c>
      <c r="I11" s="16">
        <v>53</v>
      </c>
      <c r="J11" s="16">
        <v>35</v>
      </c>
      <c r="K11" s="16">
        <v>16</v>
      </c>
      <c r="L11" s="16">
        <v>7</v>
      </c>
      <c r="M11" s="81">
        <v>7.42</v>
      </c>
      <c r="N11" s="96">
        <v>8</v>
      </c>
      <c r="O11" s="64">
        <v>3000</v>
      </c>
      <c r="P11" s="65">
        <f>Table22457891011234[[#This Row],[PEMBULATAN]]*O11</f>
        <v>24000</v>
      </c>
    </row>
    <row r="12" spans="1:16" ht="26.25" customHeight="1" x14ac:dyDescent="0.2">
      <c r="A12" s="14"/>
      <c r="B12" s="75"/>
      <c r="C12" s="73" t="s">
        <v>101</v>
      </c>
      <c r="D12" s="78" t="s">
        <v>77</v>
      </c>
      <c r="E12" s="13">
        <v>44489</v>
      </c>
      <c r="F12" s="76" t="s">
        <v>78</v>
      </c>
      <c r="G12" s="13" t="s">
        <v>79</v>
      </c>
      <c r="H12" s="77" t="s">
        <v>80</v>
      </c>
      <c r="I12" s="16">
        <v>50</v>
      </c>
      <c r="J12" s="16">
        <v>48</v>
      </c>
      <c r="K12" s="16">
        <v>31</v>
      </c>
      <c r="L12" s="16">
        <v>4</v>
      </c>
      <c r="M12" s="81">
        <v>18.600000000000001</v>
      </c>
      <c r="N12" s="96">
        <v>18.600000000000001</v>
      </c>
      <c r="O12" s="64">
        <v>3000</v>
      </c>
      <c r="P12" s="65">
        <f>Table22457891011234[[#This Row],[PEMBULATAN]]*O12</f>
        <v>55800.000000000007</v>
      </c>
    </row>
    <row r="13" spans="1:16" ht="26.25" customHeight="1" x14ac:dyDescent="0.2">
      <c r="A13" s="14"/>
      <c r="B13" s="75"/>
      <c r="C13" s="73" t="s">
        <v>102</v>
      </c>
      <c r="D13" s="78" t="s">
        <v>77</v>
      </c>
      <c r="E13" s="13">
        <v>44489</v>
      </c>
      <c r="F13" s="76" t="s">
        <v>78</v>
      </c>
      <c r="G13" s="13" t="s">
        <v>79</v>
      </c>
      <c r="H13" s="77" t="s">
        <v>80</v>
      </c>
      <c r="I13" s="16">
        <v>83</v>
      </c>
      <c r="J13" s="16">
        <v>62</v>
      </c>
      <c r="K13" s="16">
        <v>30</v>
      </c>
      <c r="L13" s="16">
        <v>24</v>
      </c>
      <c r="M13" s="81">
        <v>38.594999999999999</v>
      </c>
      <c r="N13" s="96">
        <v>38.594999999999999</v>
      </c>
      <c r="O13" s="64">
        <v>3000</v>
      </c>
      <c r="P13" s="65">
        <f>Table22457891011234[[#This Row],[PEMBULATAN]]*O13</f>
        <v>115785</v>
      </c>
    </row>
    <row r="14" spans="1:16" ht="22.5" customHeight="1" x14ac:dyDescent="0.2">
      <c r="A14" s="117" t="s">
        <v>30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9"/>
      <c r="M14" s="79">
        <f>SUBTOTAL(109,Table22457891011234[KG VOLUME])</f>
        <v>459.005</v>
      </c>
      <c r="N14" s="68">
        <f>SUM(N3:N13)</f>
        <v>464.49900000000002</v>
      </c>
      <c r="O14" s="120">
        <f>SUM(P3:P13)</f>
        <v>1393497</v>
      </c>
      <c r="P14" s="121"/>
    </row>
    <row r="15" spans="1:16" ht="18" customHeight="1" x14ac:dyDescent="0.2">
      <c r="A15" s="86"/>
      <c r="B15" s="56" t="s">
        <v>42</v>
      </c>
      <c r="C15" s="55"/>
      <c r="D15" s="57" t="s">
        <v>43</v>
      </c>
      <c r="E15" s="86"/>
      <c r="F15" s="86"/>
      <c r="G15" s="86"/>
      <c r="H15" s="86"/>
      <c r="I15" s="86"/>
      <c r="J15" s="86"/>
      <c r="K15" s="86"/>
      <c r="L15" s="86"/>
      <c r="M15" s="87"/>
      <c r="N15" s="88" t="s">
        <v>51</v>
      </c>
      <c r="O15" s="89"/>
      <c r="P15" s="89">
        <f>O14*10%</f>
        <v>139349.70000000001</v>
      </c>
    </row>
    <row r="16" spans="1:16" ht="18" customHeight="1" thickBot="1" x14ac:dyDescent="0.25">
      <c r="A16" s="86"/>
      <c r="B16" s="56"/>
      <c r="C16" s="55"/>
      <c r="D16" s="57"/>
      <c r="E16" s="86"/>
      <c r="F16" s="86"/>
      <c r="G16" s="86"/>
      <c r="H16" s="86"/>
      <c r="I16" s="86"/>
      <c r="J16" s="86"/>
      <c r="K16" s="86"/>
      <c r="L16" s="86"/>
      <c r="M16" s="87"/>
      <c r="N16" s="90" t="s">
        <v>52</v>
      </c>
      <c r="O16" s="91"/>
      <c r="P16" s="91">
        <f>O14-P15</f>
        <v>1254147.3</v>
      </c>
    </row>
    <row r="17" spans="1:16" ht="18" customHeight="1" x14ac:dyDescent="0.2">
      <c r="A17" s="11"/>
      <c r="H17" s="63"/>
      <c r="N17" s="62" t="s">
        <v>31</v>
      </c>
      <c r="P17" s="69">
        <f>P16*1%</f>
        <v>12541.473</v>
      </c>
    </row>
    <row r="18" spans="1:16" ht="18" customHeight="1" thickBot="1" x14ac:dyDescent="0.25">
      <c r="A18" s="11"/>
      <c r="H18" s="63"/>
      <c r="N18" s="62" t="s">
        <v>53</v>
      </c>
      <c r="P18" s="71">
        <f>P16*2%</f>
        <v>25082.946</v>
      </c>
    </row>
    <row r="19" spans="1:16" ht="18" customHeight="1" x14ac:dyDescent="0.2">
      <c r="A19" s="11"/>
      <c r="H19" s="63"/>
      <c r="N19" s="66" t="s">
        <v>32</v>
      </c>
      <c r="O19" s="67"/>
      <c r="P19" s="70">
        <f>P16+P17-P18</f>
        <v>1241605.827</v>
      </c>
    </row>
    <row r="21" spans="1:16" x14ac:dyDescent="0.2">
      <c r="A21" s="11"/>
      <c r="H21" s="63"/>
      <c r="P21" s="71"/>
    </row>
    <row r="22" spans="1:16" x14ac:dyDescent="0.2">
      <c r="A22" s="11"/>
      <c r="H22" s="63"/>
      <c r="O22" s="58"/>
      <c r="P22" s="71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</sheetData>
  <mergeCells count="2">
    <mergeCell ref="A14:L14"/>
    <mergeCell ref="O14:P14"/>
  </mergeCells>
  <conditionalFormatting sqref="B3:B13">
    <cfRule type="duplicateValues" dxfId="170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workbookViewId="0">
      <selection activeCell="O7" sqref="O7"/>
    </sheetView>
  </sheetViews>
  <sheetFormatPr defaultRowHeight="15" x14ac:dyDescent="0.2"/>
  <cols>
    <col min="1" max="1" width="8" style="4" customWidth="1"/>
    <col min="2" max="2" width="21.140625" style="2" customWidth="1"/>
    <col min="3" max="3" width="14.5703125" style="2" customWidth="1"/>
    <col min="4" max="4" width="12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401493</v>
      </c>
      <c r="B3" s="74" t="s">
        <v>103</v>
      </c>
      <c r="C3" s="9" t="s">
        <v>104</v>
      </c>
      <c r="D3" s="76" t="s">
        <v>77</v>
      </c>
      <c r="E3" s="13">
        <v>44491</v>
      </c>
      <c r="F3" s="76" t="s">
        <v>78</v>
      </c>
      <c r="G3" s="13">
        <v>44499</v>
      </c>
      <c r="H3" s="10" t="s">
        <v>109</v>
      </c>
      <c r="I3" s="1">
        <v>60</v>
      </c>
      <c r="J3" s="1">
        <v>42</v>
      </c>
      <c r="K3" s="1">
        <v>76</v>
      </c>
      <c r="L3" s="1">
        <v>31</v>
      </c>
      <c r="M3" s="80">
        <v>47.88</v>
      </c>
      <c r="N3" s="96">
        <v>47.88</v>
      </c>
      <c r="O3" s="64">
        <v>3000</v>
      </c>
      <c r="P3" s="65">
        <f>Table22457891011235[[#This Row],[PEMBULATAN]]*O3</f>
        <v>143640</v>
      </c>
    </row>
    <row r="4" spans="1:16" ht="26.25" customHeight="1" x14ac:dyDescent="0.2">
      <c r="A4" s="14"/>
      <c r="B4" s="75" t="s">
        <v>105</v>
      </c>
      <c r="C4" s="9" t="s">
        <v>106</v>
      </c>
      <c r="D4" s="76" t="s">
        <v>77</v>
      </c>
      <c r="E4" s="13">
        <v>44491</v>
      </c>
      <c r="F4" s="76" t="s">
        <v>78</v>
      </c>
      <c r="G4" s="13">
        <v>44499</v>
      </c>
      <c r="H4" s="10" t="s">
        <v>109</v>
      </c>
      <c r="I4" s="1">
        <v>60</v>
      </c>
      <c r="J4" s="1">
        <v>42</v>
      </c>
      <c r="K4" s="1">
        <v>76</v>
      </c>
      <c r="L4" s="1">
        <v>31</v>
      </c>
      <c r="M4" s="80">
        <v>47.88</v>
      </c>
      <c r="N4" s="96">
        <v>47.88</v>
      </c>
      <c r="O4" s="64">
        <v>3000</v>
      </c>
      <c r="P4" s="65">
        <f>Table22457891011235[[#This Row],[PEMBULATAN]]*O4</f>
        <v>143640</v>
      </c>
    </row>
    <row r="5" spans="1:16" ht="26.25" customHeight="1" x14ac:dyDescent="0.2">
      <c r="A5" s="14"/>
      <c r="B5" s="14" t="s">
        <v>107</v>
      </c>
      <c r="C5" s="9" t="s">
        <v>108</v>
      </c>
      <c r="D5" s="76" t="s">
        <v>77</v>
      </c>
      <c r="E5" s="13">
        <v>44491</v>
      </c>
      <c r="F5" s="76" t="s">
        <v>78</v>
      </c>
      <c r="G5" s="13">
        <v>44499</v>
      </c>
      <c r="H5" s="10" t="s">
        <v>109</v>
      </c>
      <c r="I5" s="1">
        <v>60</v>
      </c>
      <c r="J5" s="1">
        <v>42</v>
      </c>
      <c r="K5" s="1">
        <v>76</v>
      </c>
      <c r="L5" s="1">
        <v>31</v>
      </c>
      <c r="M5" s="80">
        <v>47.88</v>
      </c>
      <c r="N5" s="96">
        <v>47.88</v>
      </c>
      <c r="O5" s="64">
        <v>3000</v>
      </c>
      <c r="P5" s="65">
        <f>Table22457891011235[[#This Row],[PEMBULATAN]]*O5</f>
        <v>143640</v>
      </c>
    </row>
    <row r="6" spans="1:16" ht="22.5" customHeight="1" x14ac:dyDescent="0.2">
      <c r="A6" s="117" t="s">
        <v>30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  <c r="M6" s="79">
        <f>SUBTOTAL(109,Table22457891011235[KG VOLUME])</f>
        <v>143.64000000000001</v>
      </c>
      <c r="N6" s="68">
        <f>SUM(N3:N5)</f>
        <v>143.64000000000001</v>
      </c>
      <c r="O6" s="120">
        <f>SUM(P3:P5)</f>
        <v>430920</v>
      </c>
      <c r="P6" s="121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43092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387828</v>
      </c>
    </row>
    <row r="9" spans="1:16" ht="18" customHeight="1" x14ac:dyDescent="0.2">
      <c r="A9" s="11"/>
      <c r="H9" s="63"/>
      <c r="N9" s="62" t="s">
        <v>31</v>
      </c>
      <c r="P9" s="69">
        <f>P8*1%</f>
        <v>3878.28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7756.56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383949.72000000003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54" priority="2"/>
  </conditionalFormatting>
  <conditionalFormatting sqref="B4">
    <cfRule type="duplicateValues" dxfId="153" priority="1"/>
  </conditionalFormatting>
  <conditionalFormatting sqref="B5">
    <cfRule type="duplicateValues" dxfId="152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workbookViewId="0">
      <selection activeCell="H11" sqref="H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3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402246</v>
      </c>
      <c r="B3" s="74" t="s">
        <v>110</v>
      </c>
      <c r="C3" s="9" t="s">
        <v>111</v>
      </c>
      <c r="D3" s="76" t="s">
        <v>77</v>
      </c>
      <c r="E3" s="13" t="s">
        <v>126</v>
      </c>
      <c r="F3" s="76" t="s">
        <v>78</v>
      </c>
      <c r="G3" s="13">
        <v>44499</v>
      </c>
      <c r="H3" s="10" t="s">
        <v>109</v>
      </c>
      <c r="I3" s="1">
        <v>150</v>
      </c>
      <c r="J3" s="1">
        <v>65</v>
      </c>
      <c r="K3" s="1">
        <v>10</v>
      </c>
      <c r="L3" s="1">
        <v>13</v>
      </c>
      <c r="M3" s="80">
        <v>24.375</v>
      </c>
      <c r="N3" s="8">
        <v>25</v>
      </c>
      <c r="O3" s="64">
        <v>3000</v>
      </c>
      <c r="P3" s="65">
        <f>Table22457891011236[[#This Row],[PEMBULATAN]]*O3</f>
        <v>75000</v>
      </c>
    </row>
    <row r="4" spans="1:16" ht="26.25" customHeight="1" x14ac:dyDescent="0.2">
      <c r="A4" s="14"/>
      <c r="B4" s="75"/>
      <c r="C4" s="73" t="s">
        <v>112</v>
      </c>
      <c r="D4" s="78" t="s">
        <v>77</v>
      </c>
      <c r="E4" s="13" t="s">
        <v>126</v>
      </c>
      <c r="F4" s="76" t="s">
        <v>78</v>
      </c>
      <c r="G4" s="13">
        <v>44499</v>
      </c>
      <c r="H4" s="77" t="s">
        <v>109</v>
      </c>
      <c r="I4" s="16">
        <v>64</v>
      </c>
      <c r="J4" s="16">
        <v>41</v>
      </c>
      <c r="K4" s="16">
        <v>37</v>
      </c>
      <c r="L4" s="16">
        <v>13</v>
      </c>
      <c r="M4" s="81">
        <v>24.271999999999998</v>
      </c>
      <c r="N4" s="96">
        <v>24.271999999999998</v>
      </c>
      <c r="O4" s="64">
        <v>3000</v>
      </c>
      <c r="P4" s="65">
        <f>Table22457891011236[[#This Row],[PEMBULATAN]]*O4</f>
        <v>72816</v>
      </c>
    </row>
    <row r="5" spans="1:16" ht="26.25" customHeight="1" x14ac:dyDescent="0.2">
      <c r="A5" s="14"/>
      <c r="B5" s="75"/>
      <c r="C5" s="73" t="s">
        <v>113</v>
      </c>
      <c r="D5" s="78" t="s">
        <v>77</v>
      </c>
      <c r="E5" s="13" t="s">
        <v>126</v>
      </c>
      <c r="F5" s="76" t="s">
        <v>78</v>
      </c>
      <c r="G5" s="13">
        <v>44499</v>
      </c>
      <c r="H5" s="77" t="s">
        <v>109</v>
      </c>
      <c r="I5" s="16">
        <v>46</v>
      </c>
      <c r="J5" s="16">
        <v>27</v>
      </c>
      <c r="K5" s="16">
        <v>20</v>
      </c>
      <c r="L5" s="16">
        <v>3</v>
      </c>
      <c r="M5" s="81">
        <v>6.21</v>
      </c>
      <c r="N5" s="96">
        <v>6.21</v>
      </c>
      <c r="O5" s="64">
        <v>3000</v>
      </c>
      <c r="P5" s="65">
        <f>Table22457891011236[[#This Row],[PEMBULATAN]]*O5</f>
        <v>18630</v>
      </c>
    </row>
    <row r="6" spans="1:16" ht="26.25" customHeight="1" x14ac:dyDescent="0.2">
      <c r="A6" s="14"/>
      <c r="B6" s="75"/>
      <c r="C6" s="73" t="s">
        <v>114</v>
      </c>
      <c r="D6" s="78" t="s">
        <v>77</v>
      </c>
      <c r="E6" s="13" t="s">
        <v>126</v>
      </c>
      <c r="F6" s="76" t="s">
        <v>78</v>
      </c>
      <c r="G6" s="13">
        <v>44499</v>
      </c>
      <c r="H6" s="77" t="s">
        <v>109</v>
      </c>
      <c r="I6" s="16">
        <v>65</v>
      </c>
      <c r="J6" s="16">
        <v>56</v>
      </c>
      <c r="K6" s="16">
        <v>21</v>
      </c>
      <c r="L6" s="16">
        <v>13</v>
      </c>
      <c r="M6" s="81">
        <v>19.11</v>
      </c>
      <c r="N6" s="96">
        <v>19.11</v>
      </c>
      <c r="O6" s="64">
        <v>3000</v>
      </c>
      <c r="P6" s="65">
        <f>Table22457891011236[[#This Row],[PEMBULATAN]]*O6</f>
        <v>57330</v>
      </c>
    </row>
    <row r="7" spans="1:16" ht="26.25" customHeight="1" x14ac:dyDescent="0.2">
      <c r="A7" s="14"/>
      <c r="B7" s="75"/>
      <c r="C7" s="73" t="s">
        <v>115</v>
      </c>
      <c r="D7" s="78" t="s">
        <v>77</v>
      </c>
      <c r="E7" s="13" t="s">
        <v>126</v>
      </c>
      <c r="F7" s="76" t="s">
        <v>78</v>
      </c>
      <c r="G7" s="13">
        <v>44499</v>
      </c>
      <c r="H7" s="77" t="s">
        <v>109</v>
      </c>
      <c r="I7" s="16">
        <v>65</v>
      </c>
      <c r="J7" s="16">
        <v>56</v>
      </c>
      <c r="K7" s="16">
        <v>21</v>
      </c>
      <c r="L7" s="16">
        <v>13</v>
      </c>
      <c r="M7" s="81">
        <v>19.11</v>
      </c>
      <c r="N7" s="96">
        <v>19.11</v>
      </c>
      <c r="O7" s="64">
        <v>3000</v>
      </c>
      <c r="P7" s="65">
        <f>Table22457891011236[[#This Row],[PEMBULATAN]]*O7</f>
        <v>57330</v>
      </c>
    </row>
    <row r="8" spans="1:16" ht="26.25" customHeight="1" x14ac:dyDescent="0.2">
      <c r="A8" s="14"/>
      <c r="B8" s="75"/>
      <c r="C8" s="73" t="s">
        <v>116</v>
      </c>
      <c r="D8" s="78" t="s">
        <v>77</v>
      </c>
      <c r="E8" s="13" t="s">
        <v>126</v>
      </c>
      <c r="F8" s="76" t="s">
        <v>78</v>
      </c>
      <c r="G8" s="13">
        <v>44499</v>
      </c>
      <c r="H8" s="77" t="s">
        <v>109</v>
      </c>
      <c r="I8" s="16">
        <v>45</v>
      </c>
      <c r="J8" s="16">
        <v>45</v>
      </c>
      <c r="K8" s="16">
        <v>45</v>
      </c>
      <c r="L8" s="16">
        <v>13</v>
      </c>
      <c r="M8" s="81">
        <v>22.78125</v>
      </c>
      <c r="N8" s="96">
        <v>22.78125</v>
      </c>
      <c r="O8" s="64">
        <v>3000</v>
      </c>
      <c r="P8" s="65">
        <f>Table22457891011236[[#This Row],[PEMBULATAN]]*O8</f>
        <v>68343.75</v>
      </c>
    </row>
    <row r="9" spans="1:16" ht="26.25" customHeight="1" x14ac:dyDescent="0.2">
      <c r="A9" s="14"/>
      <c r="B9" s="75"/>
      <c r="C9" s="73" t="s">
        <v>117</v>
      </c>
      <c r="D9" s="78" t="s">
        <v>77</v>
      </c>
      <c r="E9" s="13" t="s">
        <v>126</v>
      </c>
      <c r="F9" s="76" t="s">
        <v>78</v>
      </c>
      <c r="G9" s="13">
        <v>44499</v>
      </c>
      <c r="H9" s="77" t="s">
        <v>109</v>
      </c>
      <c r="I9" s="16">
        <v>45</v>
      </c>
      <c r="J9" s="16">
        <v>45</v>
      </c>
      <c r="K9" s="16">
        <v>45</v>
      </c>
      <c r="L9" s="16">
        <v>13</v>
      </c>
      <c r="M9" s="81">
        <v>22.78125</v>
      </c>
      <c r="N9" s="96">
        <v>22.78125</v>
      </c>
      <c r="O9" s="64">
        <v>3000</v>
      </c>
      <c r="P9" s="65">
        <f>Table22457891011236[[#This Row],[PEMBULATAN]]*O9</f>
        <v>68343.75</v>
      </c>
    </row>
    <row r="10" spans="1:16" ht="26.25" customHeight="1" x14ac:dyDescent="0.2">
      <c r="A10" s="14"/>
      <c r="B10" s="75"/>
      <c r="C10" s="73" t="s">
        <v>118</v>
      </c>
      <c r="D10" s="78" t="s">
        <v>77</v>
      </c>
      <c r="E10" s="13" t="s">
        <v>126</v>
      </c>
      <c r="F10" s="76" t="s">
        <v>78</v>
      </c>
      <c r="G10" s="13">
        <v>44499</v>
      </c>
      <c r="H10" s="77" t="s">
        <v>109</v>
      </c>
      <c r="I10" s="16">
        <v>45</v>
      </c>
      <c r="J10" s="16">
        <v>45</v>
      </c>
      <c r="K10" s="16">
        <v>45</v>
      </c>
      <c r="L10" s="16">
        <v>13</v>
      </c>
      <c r="M10" s="81">
        <v>22.78125</v>
      </c>
      <c r="N10" s="96">
        <v>22.78125</v>
      </c>
      <c r="O10" s="64">
        <v>3000</v>
      </c>
      <c r="P10" s="65">
        <f>Table22457891011236[[#This Row],[PEMBULATAN]]*O10</f>
        <v>68343.75</v>
      </c>
    </row>
    <row r="11" spans="1:16" ht="26.25" customHeight="1" x14ac:dyDescent="0.2">
      <c r="A11" s="14"/>
      <c r="B11" s="75"/>
      <c r="C11" s="73" t="s">
        <v>119</v>
      </c>
      <c r="D11" s="78" t="s">
        <v>77</v>
      </c>
      <c r="E11" s="13" t="s">
        <v>126</v>
      </c>
      <c r="F11" s="76" t="s">
        <v>78</v>
      </c>
      <c r="G11" s="13">
        <v>44499</v>
      </c>
      <c r="H11" s="77" t="s">
        <v>109</v>
      </c>
      <c r="I11" s="16">
        <v>45</v>
      </c>
      <c r="J11" s="16">
        <v>45</v>
      </c>
      <c r="K11" s="16">
        <v>45</v>
      </c>
      <c r="L11" s="16">
        <v>13</v>
      </c>
      <c r="M11" s="81">
        <v>22.78125</v>
      </c>
      <c r="N11" s="96">
        <v>22.78125</v>
      </c>
      <c r="O11" s="64">
        <v>3000</v>
      </c>
      <c r="P11" s="65">
        <f>Table22457891011236[[#This Row],[PEMBULATAN]]*O11</f>
        <v>68343.75</v>
      </c>
    </row>
    <row r="12" spans="1:16" ht="26.25" customHeight="1" x14ac:dyDescent="0.2">
      <c r="A12" s="14"/>
      <c r="B12" s="75"/>
      <c r="C12" s="73" t="s">
        <v>120</v>
      </c>
      <c r="D12" s="78" t="s">
        <v>77</v>
      </c>
      <c r="E12" s="13" t="s">
        <v>126</v>
      </c>
      <c r="F12" s="76" t="s">
        <v>78</v>
      </c>
      <c r="G12" s="13">
        <v>44499</v>
      </c>
      <c r="H12" s="77" t="s">
        <v>109</v>
      </c>
      <c r="I12" s="16">
        <v>43</v>
      </c>
      <c r="J12" s="16">
        <v>34</v>
      </c>
      <c r="K12" s="16">
        <v>29</v>
      </c>
      <c r="L12" s="16">
        <v>9</v>
      </c>
      <c r="M12" s="81">
        <v>10.599500000000001</v>
      </c>
      <c r="N12" s="96">
        <v>10.599500000000001</v>
      </c>
      <c r="O12" s="64">
        <v>3000</v>
      </c>
      <c r="P12" s="65">
        <f>Table22457891011236[[#This Row],[PEMBULATAN]]*O12</f>
        <v>31798.500000000004</v>
      </c>
    </row>
    <row r="13" spans="1:16" ht="26.25" customHeight="1" x14ac:dyDescent="0.2">
      <c r="A13" s="14"/>
      <c r="B13" s="75"/>
      <c r="C13" s="73" t="s">
        <v>121</v>
      </c>
      <c r="D13" s="78" t="s">
        <v>77</v>
      </c>
      <c r="E13" s="13" t="s">
        <v>126</v>
      </c>
      <c r="F13" s="76" t="s">
        <v>78</v>
      </c>
      <c r="G13" s="13">
        <v>44499</v>
      </c>
      <c r="H13" s="77" t="s">
        <v>109</v>
      </c>
      <c r="I13" s="16">
        <v>33</v>
      </c>
      <c r="J13" s="16">
        <v>33</v>
      </c>
      <c r="K13" s="16">
        <v>33</v>
      </c>
      <c r="L13" s="16">
        <v>47</v>
      </c>
      <c r="M13" s="81">
        <v>8.9842499999999994</v>
      </c>
      <c r="N13" s="96">
        <v>47</v>
      </c>
      <c r="O13" s="64">
        <v>3000</v>
      </c>
      <c r="P13" s="65">
        <f>Table22457891011236[[#This Row],[PEMBULATAN]]*O13</f>
        <v>141000</v>
      </c>
    </row>
    <row r="14" spans="1:16" ht="26.25" customHeight="1" x14ac:dyDescent="0.2">
      <c r="A14" s="14"/>
      <c r="B14" s="75"/>
      <c r="C14" s="73" t="s">
        <v>122</v>
      </c>
      <c r="D14" s="78" t="s">
        <v>77</v>
      </c>
      <c r="E14" s="13" t="s">
        <v>126</v>
      </c>
      <c r="F14" s="76" t="s">
        <v>78</v>
      </c>
      <c r="G14" s="13">
        <v>44499</v>
      </c>
      <c r="H14" s="77" t="s">
        <v>109</v>
      </c>
      <c r="I14" s="16">
        <v>53</v>
      </c>
      <c r="J14" s="16">
        <v>47</v>
      </c>
      <c r="K14" s="16">
        <v>37</v>
      </c>
      <c r="L14" s="16">
        <v>3</v>
      </c>
      <c r="M14" s="81">
        <v>23.04175</v>
      </c>
      <c r="N14" s="96">
        <v>23.04175</v>
      </c>
      <c r="O14" s="64">
        <v>3000</v>
      </c>
      <c r="P14" s="65">
        <f>Table22457891011236[[#This Row],[PEMBULATAN]]*O14</f>
        <v>69125.25</v>
      </c>
    </row>
    <row r="15" spans="1:16" ht="26.25" customHeight="1" x14ac:dyDescent="0.2">
      <c r="A15" s="14"/>
      <c r="B15" s="75"/>
      <c r="C15" s="73" t="s">
        <v>123</v>
      </c>
      <c r="D15" s="78" t="s">
        <v>77</v>
      </c>
      <c r="E15" s="13" t="s">
        <v>126</v>
      </c>
      <c r="F15" s="76" t="s">
        <v>78</v>
      </c>
      <c r="G15" s="13">
        <v>44499</v>
      </c>
      <c r="H15" s="77" t="s">
        <v>109</v>
      </c>
      <c r="I15" s="16">
        <v>65</v>
      </c>
      <c r="J15" s="16">
        <v>56</v>
      </c>
      <c r="K15" s="16">
        <v>22</v>
      </c>
      <c r="L15" s="16">
        <v>13</v>
      </c>
      <c r="M15" s="81">
        <v>20.02</v>
      </c>
      <c r="N15" s="96">
        <v>20.02</v>
      </c>
      <c r="O15" s="64">
        <v>3000</v>
      </c>
      <c r="P15" s="65">
        <f>Table22457891011236[[#This Row],[PEMBULATAN]]*O15</f>
        <v>60060</v>
      </c>
    </row>
    <row r="16" spans="1:16" ht="26.25" customHeight="1" x14ac:dyDescent="0.2">
      <c r="A16" s="14"/>
      <c r="B16" s="75"/>
      <c r="C16" s="73" t="s">
        <v>124</v>
      </c>
      <c r="D16" s="78" t="s">
        <v>77</v>
      </c>
      <c r="E16" s="13" t="s">
        <v>126</v>
      </c>
      <c r="F16" s="76" t="s">
        <v>78</v>
      </c>
      <c r="G16" s="13">
        <v>44499</v>
      </c>
      <c r="H16" s="77" t="s">
        <v>109</v>
      </c>
      <c r="I16" s="16">
        <v>33</v>
      </c>
      <c r="J16" s="16">
        <v>28</v>
      </c>
      <c r="K16" s="16">
        <v>10</v>
      </c>
      <c r="L16" s="16">
        <v>2</v>
      </c>
      <c r="M16" s="81">
        <v>2.31</v>
      </c>
      <c r="N16" s="96">
        <v>3</v>
      </c>
      <c r="O16" s="64">
        <v>3000</v>
      </c>
      <c r="P16" s="65">
        <f>Table22457891011236[[#This Row],[PEMBULATAN]]*O16</f>
        <v>9000</v>
      </c>
    </row>
    <row r="17" spans="1:16" ht="26.25" customHeight="1" x14ac:dyDescent="0.2">
      <c r="A17" s="14"/>
      <c r="B17" s="75"/>
      <c r="C17" s="73" t="s">
        <v>125</v>
      </c>
      <c r="D17" s="78" t="s">
        <v>77</v>
      </c>
      <c r="E17" s="13" t="s">
        <v>126</v>
      </c>
      <c r="F17" s="76" t="s">
        <v>78</v>
      </c>
      <c r="G17" s="13">
        <v>44499</v>
      </c>
      <c r="H17" s="77" t="s">
        <v>109</v>
      </c>
      <c r="I17" s="16">
        <v>90</v>
      </c>
      <c r="J17" s="16">
        <v>60</v>
      </c>
      <c r="K17" s="16">
        <v>33</v>
      </c>
      <c r="L17" s="16">
        <v>9</v>
      </c>
      <c r="M17" s="81">
        <v>44.55</v>
      </c>
      <c r="N17" s="96">
        <v>44.55</v>
      </c>
      <c r="O17" s="64">
        <v>3000</v>
      </c>
      <c r="P17" s="65">
        <f>Table22457891011236[[#This Row],[PEMBULATAN]]*O17</f>
        <v>133650</v>
      </c>
    </row>
    <row r="18" spans="1:16" ht="22.5" customHeight="1" x14ac:dyDescent="0.2">
      <c r="A18" s="117" t="s">
        <v>30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9"/>
      <c r="M18" s="79">
        <f>SUBTOTAL(109,Table22457891011236[KG VOLUME])</f>
        <v>293.70750000000004</v>
      </c>
      <c r="N18" s="68">
        <f>SUM(N3:N17)</f>
        <v>333.03825000000001</v>
      </c>
      <c r="O18" s="120">
        <f>SUM(P3:P17)</f>
        <v>999114.75</v>
      </c>
      <c r="P18" s="121"/>
    </row>
    <row r="19" spans="1:16" ht="18" customHeight="1" x14ac:dyDescent="0.2">
      <c r="A19" s="86"/>
      <c r="B19" s="56" t="s">
        <v>42</v>
      </c>
      <c r="C19" s="55"/>
      <c r="D19" s="57" t="s">
        <v>43</v>
      </c>
      <c r="E19" s="86"/>
      <c r="F19" s="86"/>
      <c r="G19" s="86"/>
      <c r="H19" s="86"/>
      <c r="I19" s="86"/>
      <c r="J19" s="86"/>
      <c r="K19" s="86"/>
      <c r="L19" s="86"/>
      <c r="M19" s="87"/>
      <c r="N19" s="88" t="s">
        <v>51</v>
      </c>
      <c r="O19" s="89"/>
      <c r="P19" s="89">
        <f>O18*10%</f>
        <v>99911.475000000006</v>
      </c>
    </row>
    <row r="20" spans="1:16" ht="18" customHeight="1" thickBot="1" x14ac:dyDescent="0.25">
      <c r="A20" s="86"/>
      <c r="B20" s="56"/>
      <c r="C20" s="55"/>
      <c r="D20" s="57"/>
      <c r="E20" s="86"/>
      <c r="F20" s="86"/>
      <c r="G20" s="86"/>
      <c r="H20" s="86"/>
      <c r="I20" s="86"/>
      <c r="J20" s="86"/>
      <c r="K20" s="86"/>
      <c r="L20" s="86"/>
      <c r="M20" s="87"/>
      <c r="N20" s="90" t="s">
        <v>52</v>
      </c>
      <c r="O20" s="91"/>
      <c r="P20" s="91">
        <f>O18-P19</f>
        <v>899203.27500000002</v>
      </c>
    </row>
    <row r="21" spans="1:16" ht="18" customHeight="1" x14ac:dyDescent="0.2">
      <c r="A21" s="11"/>
      <c r="H21" s="63"/>
      <c r="N21" s="62" t="s">
        <v>31</v>
      </c>
      <c r="P21" s="69">
        <f>P20*1%</f>
        <v>8992.0327500000003</v>
      </c>
    </row>
    <row r="22" spans="1:16" ht="18" customHeight="1" thickBot="1" x14ac:dyDescent="0.25">
      <c r="A22" s="11"/>
      <c r="H22" s="63"/>
      <c r="N22" s="62" t="s">
        <v>53</v>
      </c>
      <c r="P22" s="71">
        <f>P20*2%</f>
        <v>17984.065500000001</v>
      </c>
    </row>
    <row r="23" spans="1:16" ht="18" customHeight="1" x14ac:dyDescent="0.2">
      <c r="A23" s="11"/>
      <c r="H23" s="63"/>
      <c r="N23" s="66" t="s">
        <v>32</v>
      </c>
      <c r="O23" s="67"/>
      <c r="P23" s="70">
        <f>P20+P21-P22</f>
        <v>890211.24225000001</v>
      </c>
    </row>
    <row r="25" spans="1:16" x14ac:dyDescent="0.2">
      <c r="A25" s="11"/>
      <c r="H25" s="63"/>
      <c r="P25" s="71"/>
    </row>
    <row r="26" spans="1:16" x14ac:dyDescent="0.2">
      <c r="A26" s="11"/>
      <c r="H26" s="63"/>
      <c r="O26" s="58"/>
      <c r="P26" s="71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</sheetData>
  <mergeCells count="2">
    <mergeCell ref="A18:L18"/>
    <mergeCell ref="O18:P18"/>
  </mergeCells>
  <conditionalFormatting sqref="B3:B17">
    <cfRule type="duplicateValues" dxfId="136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workbookViewId="0">
      <selection activeCell="G6" sqref="G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5703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402249</v>
      </c>
      <c r="B3" s="74" t="s">
        <v>127</v>
      </c>
      <c r="C3" s="9" t="s">
        <v>128</v>
      </c>
      <c r="D3" s="76" t="s">
        <v>77</v>
      </c>
      <c r="E3" s="13" t="s">
        <v>135</v>
      </c>
      <c r="F3" s="76" t="s">
        <v>78</v>
      </c>
      <c r="G3" s="13">
        <v>44499</v>
      </c>
      <c r="H3" s="10" t="s">
        <v>109</v>
      </c>
      <c r="I3" s="1">
        <v>150</v>
      </c>
      <c r="J3" s="1">
        <v>64</v>
      </c>
      <c r="K3" s="1">
        <v>10</v>
      </c>
      <c r="L3" s="1">
        <v>13</v>
      </c>
      <c r="M3" s="80">
        <v>24</v>
      </c>
      <c r="N3" s="8">
        <v>24</v>
      </c>
      <c r="O3" s="64">
        <v>3000</v>
      </c>
      <c r="P3" s="65">
        <f>Table22457891011237[[#This Row],[PEMBULATAN]]*O3</f>
        <v>72000</v>
      </c>
    </row>
    <row r="4" spans="1:16" ht="26.25" customHeight="1" x14ac:dyDescent="0.2">
      <c r="A4" s="14"/>
      <c r="B4" s="75"/>
      <c r="C4" s="9" t="s">
        <v>129</v>
      </c>
      <c r="D4" s="76" t="s">
        <v>77</v>
      </c>
      <c r="E4" s="13" t="s">
        <v>135</v>
      </c>
      <c r="F4" s="76" t="s">
        <v>78</v>
      </c>
      <c r="G4" s="13">
        <v>44499</v>
      </c>
      <c r="H4" s="10" t="s">
        <v>109</v>
      </c>
      <c r="I4" s="1">
        <v>150</v>
      </c>
      <c r="J4" s="1">
        <v>64</v>
      </c>
      <c r="K4" s="1">
        <v>10</v>
      </c>
      <c r="L4" s="1">
        <v>13</v>
      </c>
      <c r="M4" s="80">
        <v>24</v>
      </c>
      <c r="N4" s="8">
        <v>24</v>
      </c>
      <c r="O4" s="64">
        <v>3000</v>
      </c>
      <c r="P4" s="65">
        <f>Table22457891011237[[#This Row],[PEMBULATAN]]*O4</f>
        <v>72000</v>
      </c>
    </row>
    <row r="5" spans="1:16" ht="26.25" customHeight="1" x14ac:dyDescent="0.2">
      <c r="A5" s="14"/>
      <c r="B5" s="99"/>
      <c r="C5" s="9" t="s">
        <v>130</v>
      </c>
      <c r="D5" s="76" t="s">
        <v>77</v>
      </c>
      <c r="E5" s="13" t="s">
        <v>135</v>
      </c>
      <c r="F5" s="76" t="s">
        <v>78</v>
      </c>
      <c r="G5" s="13">
        <v>44499</v>
      </c>
      <c r="H5" s="10" t="s">
        <v>109</v>
      </c>
      <c r="I5" s="1">
        <v>150</v>
      </c>
      <c r="J5" s="1">
        <v>64</v>
      </c>
      <c r="K5" s="1">
        <v>10</v>
      </c>
      <c r="L5" s="1">
        <v>13</v>
      </c>
      <c r="M5" s="80">
        <v>24</v>
      </c>
      <c r="N5" s="8">
        <v>24</v>
      </c>
      <c r="O5" s="64">
        <v>3000</v>
      </c>
      <c r="P5" s="65">
        <f>Table22457891011237[[#This Row],[PEMBULATAN]]*O5</f>
        <v>72000</v>
      </c>
    </row>
    <row r="6" spans="1:16" ht="26.25" customHeight="1" x14ac:dyDescent="0.2">
      <c r="A6" s="14"/>
      <c r="B6" s="14" t="s">
        <v>131</v>
      </c>
      <c r="C6" s="73" t="s">
        <v>132</v>
      </c>
      <c r="D6" s="78" t="s">
        <v>77</v>
      </c>
      <c r="E6" s="13" t="s">
        <v>135</v>
      </c>
      <c r="F6" s="76" t="s">
        <v>78</v>
      </c>
      <c r="G6" s="13">
        <v>44499</v>
      </c>
      <c r="H6" s="77" t="s">
        <v>109</v>
      </c>
      <c r="I6" s="16">
        <v>45</v>
      </c>
      <c r="J6" s="16">
        <v>26</v>
      </c>
      <c r="K6" s="16">
        <v>14</v>
      </c>
      <c r="L6" s="16">
        <v>10</v>
      </c>
      <c r="M6" s="81">
        <v>4.0949999999999998</v>
      </c>
      <c r="N6" s="72">
        <v>10</v>
      </c>
      <c r="O6" s="64">
        <v>3000</v>
      </c>
      <c r="P6" s="65">
        <f>Table22457891011237[[#This Row],[PEMBULATAN]]*O6</f>
        <v>30000</v>
      </c>
    </row>
    <row r="7" spans="1:16" ht="26.25" customHeight="1" x14ac:dyDescent="0.2">
      <c r="A7" s="14"/>
      <c r="B7" s="14"/>
      <c r="C7" s="73" t="s">
        <v>133</v>
      </c>
      <c r="D7" s="78" t="s">
        <v>77</v>
      </c>
      <c r="E7" s="13" t="s">
        <v>135</v>
      </c>
      <c r="F7" s="76" t="s">
        <v>78</v>
      </c>
      <c r="G7" s="13">
        <v>44499</v>
      </c>
      <c r="H7" s="77" t="s">
        <v>109</v>
      </c>
      <c r="I7" s="16">
        <v>53</v>
      </c>
      <c r="J7" s="16">
        <v>34</v>
      </c>
      <c r="K7" s="16">
        <v>10</v>
      </c>
      <c r="L7" s="16">
        <v>10</v>
      </c>
      <c r="M7" s="81">
        <v>4.5049999999999999</v>
      </c>
      <c r="N7" s="72">
        <v>10</v>
      </c>
      <c r="O7" s="64">
        <v>3000</v>
      </c>
      <c r="P7" s="65">
        <f>Table22457891011237[[#This Row],[PEMBULATAN]]*O7</f>
        <v>30000</v>
      </c>
    </row>
    <row r="8" spans="1:16" ht="26.25" customHeight="1" x14ac:dyDescent="0.2">
      <c r="A8" s="14"/>
      <c r="B8" s="14"/>
      <c r="C8" s="73" t="s">
        <v>134</v>
      </c>
      <c r="D8" s="78" t="s">
        <v>77</v>
      </c>
      <c r="E8" s="13" t="s">
        <v>135</v>
      </c>
      <c r="F8" s="76" t="s">
        <v>78</v>
      </c>
      <c r="G8" s="13">
        <v>44499</v>
      </c>
      <c r="H8" s="77" t="s">
        <v>109</v>
      </c>
      <c r="I8" s="16">
        <v>73</v>
      </c>
      <c r="J8" s="16">
        <v>44</v>
      </c>
      <c r="K8" s="16">
        <v>10</v>
      </c>
      <c r="L8" s="16">
        <v>10</v>
      </c>
      <c r="M8" s="81">
        <v>8.0299999999999994</v>
      </c>
      <c r="N8" s="72">
        <v>10</v>
      </c>
      <c r="O8" s="64">
        <v>3000</v>
      </c>
      <c r="P8" s="65">
        <f>Table22457891011237[[#This Row],[PEMBULATAN]]*O8</f>
        <v>30000</v>
      </c>
    </row>
    <row r="9" spans="1:16" ht="22.5" customHeight="1" x14ac:dyDescent="0.2">
      <c r="A9" s="117" t="s">
        <v>30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9"/>
      <c r="M9" s="79">
        <f>SUBTOTAL(109,Table22457891011237[KG VOLUME])</f>
        <v>88.63</v>
      </c>
      <c r="N9" s="68">
        <f>SUM(N3:N8)</f>
        <v>102</v>
      </c>
      <c r="O9" s="120">
        <f>SUM(P3:P8)</f>
        <v>306000</v>
      </c>
      <c r="P9" s="121"/>
    </row>
    <row r="10" spans="1:16" ht="18" customHeight="1" x14ac:dyDescent="0.2">
      <c r="A10" s="86"/>
      <c r="B10" s="56" t="s">
        <v>42</v>
      </c>
      <c r="C10" s="55"/>
      <c r="D10" s="57" t="s">
        <v>43</v>
      </c>
      <c r="E10" s="86"/>
      <c r="F10" s="86"/>
      <c r="G10" s="86"/>
      <c r="H10" s="86"/>
      <c r="I10" s="86"/>
      <c r="J10" s="86"/>
      <c r="K10" s="86"/>
      <c r="L10" s="86"/>
      <c r="M10" s="87"/>
      <c r="N10" s="88" t="s">
        <v>51</v>
      </c>
      <c r="O10" s="89"/>
      <c r="P10" s="89">
        <f>O9*10%</f>
        <v>30600</v>
      </c>
    </row>
    <row r="11" spans="1:16" ht="18" customHeight="1" thickBot="1" x14ac:dyDescent="0.25">
      <c r="A11" s="86"/>
      <c r="B11" s="56"/>
      <c r="C11" s="55"/>
      <c r="D11" s="57"/>
      <c r="E11" s="86"/>
      <c r="F11" s="86"/>
      <c r="G11" s="86"/>
      <c r="H11" s="86"/>
      <c r="I11" s="86"/>
      <c r="J11" s="86"/>
      <c r="K11" s="86"/>
      <c r="L11" s="86"/>
      <c r="M11" s="87"/>
      <c r="N11" s="90" t="s">
        <v>52</v>
      </c>
      <c r="O11" s="91"/>
      <c r="P11" s="91">
        <f>O9-P10</f>
        <v>275400</v>
      </c>
    </row>
    <row r="12" spans="1:16" ht="18" customHeight="1" x14ac:dyDescent="0.2">
      <c r="A12" s="11"/>
      <c r="H12" s="63"/>
      <c r="N12" s="62" t="s">
        <v>31</v>
      </c>
      <c r="P12" s="69">
        <f>P11*1%</f>
        <v>2754</v>
      </c>
    </row>
    <row r="13" spans="1:16" ht="18" customHeight="1" thickBot="1" x14ac:dyDescent="0.25">
      <c r="A13" s="11"/>
      <c r="H13" s="63"/>
      <c r="N13" s="62" t="s">
        <v>53</v>
      </c>
      <c r="P13" s="71">
        <f>P11*2%</f>
        <v>5508</v>
      </c>
    </row>
    <row r="14" spans="1:16" ht="18" customHeight="1" x14ac:dyDescent="0.2">
      <c r="A14" s="11"/>
      <c r="H14" s="63"/>
      <c r="N14" s="66" t="s">
        <v>32</v>
      </c>
      <c r="O14" s="67"/>
      <c r="P14" s="70">
        <f>P11+P12-P13</f>
        <v>272646</v>
      </c>
    </row>
    <row r="16" spans="1:16" x14ac:dyDescent="0.2">
      <c r="A16" s="11"/>
      <c r="H16" s="63"/>
      <c r="P16" s="71"/>
    </row>
    <row r="17" spans="1:16" x14ac:dyDescent="0.2">
      <c r="A17" s="11"/>
      <c r="H17" s="63"/>
      <c r="O17" s="58"/>
      <c r="P17" s="71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120" priority="2"/>
  </conditionalFormatting>
  <conditionalFormatting sqref="B4">
    <cfRule type="duplicateValues" dxfId="119" priority="1"/>
  </conditionalFormatting>
  <conditionalFormatting sqref="B5:B8">
    <cfRule type="duplicateValues" dxfId="118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workbookViewId="0">
      <selection activeCell="L9" sqref="L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402425</v>
      </c>
      <c r="B3" s="74" t="s">
        <v>136</v>
      </c>
      <c r="C3" s="9" t="s">
        <v>137</v>
      </c>
      <c r="D3" s="76" t="s">
        <v>77</v>
      </c>
      <c r="E3" s="13" t="s">
        <v>140</v>
      </c>
      <c r="F3" s="76" t="s">
        <v>78</v>
      </c>
      <c r="G3" s="13">
        <v>44499</v>
      </c>
      <c r="H3" s="10" t="s">
        <v>109</v>
      </c>
      <c r="I3" s="1">
        <v>102</v>
      </c>
      <c r="J3" s="1">
        <v>56</v>
      </c>
      <c r="K3" s="1">
        <v>60</v>
      </c>
      <c r="L3" s="1">
        <v>26</v>
      </c>
      <c r="M3" s="80">
        <v>85.68</v>
      </c>
      <c r="N3" s="96">
        <v>85.68</v>
      </c>
      <c r="O3" s="64">
        <v>3000</v>
      </c>
      <c r="P3" s="65">
        <f>Table22457891011238[[#This Row],[PEMBULATAN]]*O3</f>
        <v>257040.00000000003</v>
      </c>
    </row>
    <row r="4" spans="1:16" ht="26.25" customHeight="1" x14ac:dyDescent="0.2">
      <c r="A4" s="14"/>
      <c r="B4" s="75"/>
      <c r="C4" s="9" t="s">
        <v>138</v>
      </c>
      <c r="D4" s="76" t="s">
        <v>77</v>
      </c>
      <c r="E4" s="13" t="s">
        <v>140</v>
      </c>
      <c r="F4" s="76" t="s">
        <v>78</v>
      </c>
      <c r="G4" s="13">
        <v>44499</v>
      </c>
      <c r="H4" s="10" t="s">
        <v>109</v>
      </c>
      <c r="I4" s="1">
        <v>102</v>
      </c>
      <c r="J4" s="1">
        <v>56</v>
      </c>
      <c r="K4" s="1">
        <v>60</v>
      </c>
      <c r="L4" s="1">
        <v>26</v>
      </c>
      <c r="M4" s="80">
        <v>85.68</v>
      </c>
      <c r="N4" s="96">
        <v>85.68</v>
      </c>
      <c r="O4" s="64">
        <v>3000</v>
      </c>
      <c r="P4" s="65">
        <f>Table22457891011238[[#This Row],[PEMBULATAN]]*O4</f>
        <v>257040.00000000003</v>
      </c>
    </row>
    <row r="5" spans="1:16" ht="26.25" customHeight="1" x14ac:dyDescent="0.2">
      <c r="A5" s="14"/>
      <c r="B5" s="14"/>
      <c r="C5" s="9" t="s">
        <v>139</v>
      </c>
      <c r="D5" s="76" t="s">
        <v>77</v>
      </c>
      <c r="E5" s="13" t="s">
        <v>140</v>
      </c>
      <c r="F5" s="76" t="s">
        <v>78</v>
      </c>
      <c r="G5" s="13">
        <v>44499</v>
      </c>
      <c r="H5" s="10" t="s">
        <v>109</v>
      </c>
      <c r="I5" s="1">
        <v>76</v>
      </c>
      <c r="J5" s="1">
        <v>60</v>
      </c>
      <c r="K5" s="1">
        <v>40</v>
      </c>
      <c r="L5" s="1">
        <v>31</v>
      </c>
      <c r="M5" s="80">
        <v>45.6</v>
      </c>
      <c r="N5" s="96">
        <v>45.6</v>
      </c>
      <c r="O5" s="64">
        <v>3000</v>
      </c>
      <c r="P5" s="65">
        <f>Table22457891011238[[#This Row],[PEMBULATAN]]*O5</f>
        <v>136800</v>
      </c>
    </row>
    <row r="6" spans="1:16" ht="22.5" customHeight="1" x14ac:dyDescent="0.2">
      <c r="A6" s="117" t="s">
        <v>30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  <c r="M6" s="79">
        <f>SUBTOTAL(109,Table22457891011238[KG VOLUME])</f>
        <v>216.96</v>
      </c>
      <c r="N6" s="68">
        <f>SUM(N3:N5)</f>
        <v>216.96</v>
      </c>
      <c r="O6" s="120">
        <f>SUM(P3:P5)</f>
        <v>650880</v>
      </c>
      <c r="P6" s="121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65088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585792</v>
      </c>
    </row>
    <row r="9" spans="1:16" ht="18" customHeight="1" x14ac:dyDescent="0.2">
      <c r="A9" s="11"/>
      <c r="H9" s="63"/>
      <c r="N9" s="62" t="s">
        <v>31</v>
      </c>
      <c r="P9" s="69">
        <f>P8*1%</f>
        <v>5857.92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11715.84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579934.08000000007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02" priority="2"/>
  </conditionalFormatting>
  <conditionalFormatting sqref="B4">
    <cfRule type="duplicateValues" dxfId="101" priority="1"/>
  </conditionalFormatting>
  <conditionalFormatting sqref="B5">
    <cfRule type="duplicateValues" dxfId="100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workbookViewId="0">
      <selection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402435</v>
      </c>
      <c r="B3" s="74" t="s">
        <v>141</v>
      </c>
      <c r="C3" s="9" t="s">
        <v>142</v>
      </c>
      <c r="D3" s="76" t="s">
        <v>77</v>
      </c>
      <c r="E3" s="13" t="s">
        <v>145</v>
      </c>
      <c r="F3" s="76" t="s">
        <v>78</v>
      </c>
      <c r="G3" s="13">
        <v>44499</v>
      </c>
      <c r="H3" s="10" t="s">
        <v>109</v>
      </c>
      <c r="I3" s="1">
        <v>23</v>
      </c>
      <c r="J3" s="1">
        <v>21</v>
      </c>
      <c r="K3" s="1">
        <v>9</v>
      </c>
      <c r="L3" s="1">
        <v>3</v>
      </c>
      <c r="M3" s="80">
        <v>1.0867500000000001</v>
      </c>
      <c r="N3" s="8">
        <v>3</v>
      </c>
      <c r="O3" s="64">
        <v>3000</v>
      </c>
      <c r="P3" s="65">
        <f>Table22457891011239[[#This Row],[PEMBULATAN]]*O3</f>
        <v>9000</v>
      </c>
    </row>
    <row r="4" spans="1:16" ht="26.25" customHeight="1" x14ac:dyDescent="0.2">
      <c r="A4" s="14"/>
      <c r="B4" s="75" t="s">
        <v>191</v>
      </c>
      <c r="C4" s="9" t="s">
        <v>143</v>
      </c>
      <c r="D4" s="76" t="s">
        <v>77</v>
      </c>
      <c r="E4" s="13" t="s">
        <v>145</v>
      </c>
      <c r="F4" s="76" t="s">
        <v>78</v>
      </c>
      <c r="G4" s="13">
        <v>44499</v>
      </c>
      <c r="H4" s="10" t="s">
        <v>109</v>
      </c>
      <c r="I4" s="1">
        <v>36</v>
      </c>
      <c r="J4" s="1">
        <v>36</v>
      </c>
      <c r="K4" s="1">
        <v>18</v>
      </c>
      <c r="L4" s="1">
        <v>12</v>
      </c>
      <c r="M4" s="80">
        <v>5.8319999999999999</v>
      </c>
      <c r="N4" s="8">
        <v>12</v>
      </c>
      <c r="O4" s="64">
        <v>3000</v>
      </c>
      <c r="P4" s="65">
        <f>Table22457891011239[[#This Row],[PEMBULATAN]]*O4</f>
        <v>36000</v>
      </c>
    </row>
    <row r="5" spans="1:16" ht="26.25" customHeight="1" x14ac:dyDescent="0.2">
      <c r="A5" s="14"/>
      <c r="B5" s="14"/>
      <c r="C5" s="9" t="s">
        <v>144</v>
      </c>
      <c r="D5" s="76" t="s">
        <v>77</v>
      </c>
      <c r="E5" s="13" t="s">
        <v>145</v>
      </c>
      <c r="F5" s="76" t="s">
        <v>78</v>
      </c>
      <c r="G5" s="13">
        <v>44499</v>
      </c>
      <c r="H5" s="10" t="s">
        <v>109</v>
      </c>
      <c r="I5" s="1">
        <v>36</v>
      </c>
      <c r="J5" s="1">
        <v>36</v>
      </c>
      <c r="K5" s="1">
        <v>18</v>
      </c>
      <c r="L5" s="1">
        <v>12</v>
      </c>
      <c r="M5" s="80">
        <v>5.8319999999999999</v>
      </c>
      <c r="N5" s="8">
        <v>12</v>
      </c>
      <c r="O5" s="64">
        <v>3000</v>
      </c>
      <c r="P5" s="65">
        <f>Table22457891011239[[#This Row],[PEMBULATAN]]*O5</f>
        <v>36000</v>
      </c>
    </row>
    <row r="6" spans="1:16" ht="22.5" customHeight="1" x14ac:dyDescent="0.2">
      <c r="A6" s="117" t="s">
        <v>30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  <c r="M6" s="79">
        <f>SUBTOTAL(109,Table22457891011239[KG VOLUME])</f>
        <v>12.75075</v>
      </c>
      <c r="N6" s="68">
        <f>SUM(N3:N5)</f>
        <v>27</v>
      </c>
      <c r="O6" s="120">
        <f>SUM(P3:P5)</f>
        <v>81000</v>
      </c>
      <c r="P6" s="121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8100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72900</v>
      </c>
    </row>
    <row r="9" spans="1:16" ht="18" customHeight="1" x14ac:dyDescent="0.2">
      <c r="A9" s="11"/>
      <c r="H9" s="63"/>
      <c r="N9" s="62" t="s">
        <v>31</v>
      </c>
      <c r="P9" s="69">
        <f>P8*1%</f>
        <v>729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1458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72171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84" priority="2"/>
  </conditionalFormatting>
  <conditionalFormatting sqref="B4">
    <cfRule type="duplicateValues" dxfId="83" priority="1"/>
  </conditionalFormatting>
  <conditionalFormatting sqref="B5">
    <cfRule type="duplicateValues" dxfId="82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42_Sicepat_Tj Pandan</vt:lpstr>
      <vt:lpstr>402241</vt:lpstr>
      <vt:lpstr>402544</vt:lpstr>
      <vt:lpstr>401489</vt:lpstr>
      <vt:lpstr>401493</vt:lpstr>
      <vt:lpstr>402246</vt:lpstr>
      <vt:lpstr>402249</vt:lpstr>
      <vt:lpstr>402425</vt:lpstr>
      <vt:lpstr>402435</vt:lpstr>
      <vt:lpstr>402438</vt:lpstr>
      <vt:lpstr>402307</vt:lpstr>
      <vt:lpstr>402312</vt:lpstr>
      <vt:lpstr>402317</vt:lpstr>
      <vt:lpstr>'401489'!Print_Titles</vt:lpstr>
      <vt:lpstr>'402241'!Print_Titles</vt:lpstr>
      <vt:lpstr>'402544'!Print_Titles</vt:lpstr>
      <vt:lpstr>'42_Sicepat_Tj Pandan'!Print_Titles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2021-12-11T07:06:51Z</cp:lastPrinted>
  <dcterms:created xsi:type="dcterms:W3CDTF">2021-07-02T11:08:00Z</dcterms:created>
  <dcterms:modified xsi:type="dcterms:W3CDTF">2021-12-11T07:30:02Z</dcterms:modified>
</cp:coreProperties>
</file>