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-120" yWindow="-120" windowWidth="24240" windowHeight="13740" tabRatio="842"/>
  </bookViews>
  <sheets>
    <sheet name="46_Sicepat_Tanjung Pinang" sheetId="2" r:id="rId1"/>
    <sheet name="402240" sheetId="26" r:id="rId2"/>
    <sheet name="402245" sheetId="57" r:id="rId3"/>
    <sheet name="401500" sheetId="58" r:id="rId4"/>
    <sheet name="402250" sheetId="59" r:id="rId5"/>
    <sheet name="402424" sheetId="60" r:id="rId6"/>
    <sheet name="402434" sheetId="61" r:id="rId7"/>
    <sheet name="402439" sheetId="62" r:id="rId8"/>
    <sheet name="402306" sheetId="63" r:id="rId9"/>
    <sheet name="402311" sheetId="64" r:id="rId10"/>
    <sheet name="402316" sheetId="65" r:id="rId11"/>
  </sheets>
  <definedNames>
    <definedName name="_xlnm.Print_Titles" localSheetId="1">'402240'!$2:$2</definedName>
    <definedName name="_xlnm.Print_Titles" localSheetId="2">'402245'!$2:$2</definedName>
    <definedName name="_xlnm.Print_Titles" localSheetId="8">'402306'!$1:$2</definedName>
    <definedName name="_xlnm.Print_Titles" localSheetId="0">'46_Sicepat_Tanjung Pinang'!$2:$17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2" l="1"/>
  <c r="A21" i="2" s="1"/>
  <c r="A22" i="2" s="1"/>
  <c r="A23" i="2" s="1"/>
  <c r="A24" i="2" s="1"/>
  <c r="A25" i="2" s="1"/>
  <c r="A26" i="2" s="1"/>
  <c r="A27" i="2" s="1"/>
  <c r="O13" i="65" l="1"/>
  <c r="N13" i="65"/>
  <c r="O15" i="64"/>
  <c r="N15" i="64"/>
  <c r="O96" i="63"/>
  <c r="N96" i="63"/>
  <c r="O14" i="62"/>
  <c r="N14" i="62"/>
  <c r="N26" i="61"/>
  <c r="N15" i="60"/>
  <c r="N7" i="59"/>
  <c r="N18" i="58"/>
  <c r="P4" i="65" l="1"/>
  <c r="P5" i="65"/>
  <c r="P6" i="65"/>
  <c r="P7" i="65"/>
  <c r="P8" i="65"/>
  <c r="P9" i="65"/>
  <c r="P10" i="65"/>
  <c r="P11" i="65"/>
  <c r="P12" i="65"/>
  <c r="P3" i="65"/>
  <c r="P4" i="63"/>
  <c r="P5" i="63"/>
  <c r="P6" i="63"/>
  <c r="P7" i="63"/>
  <c r="P8" i="63"/>
  <c r="P9" i="63"/>
  <c r="P10" i="63"/>
  <c r="P11" i="63"/>
  <c r="P12" i="63"/>
  <c r="P13" i="63"/>
  <c r="P14" i="63"/>
  <c r="P15" i="63"/>
  <c r="P16" i="63"/>
  <c r="P17" i="63"/>
  <c r="P18" i="63"/>
  <c r="P19" i="63"/>
  <c r="P20" i="63"/>
  <c r="P21" i="63"/>
  <c r="P22" i="63"/>
  <c r="P23" i="63"/>
  <c r="P24" i="63"/>
  <c r="P25" i="63"/>
  <c r="P26" i="63"/>
  <c r="P27" i="63"/>
  <c r="P28" i="63"/>
  <c r="P29" i="63"/>
  <c r="P30" i="63"/>
  <c r="P31" i="63"/>
  <c r="P32" i="63"/>
  <c r="P33" i="63"/>
  <c r="P34" i="63"/>
  <c r="P35" i="63"/>
  <c r="P36" i="63"/>
  <c r="P37" i="63"/>
  <c r="P38" i="63"/>
  <c r="P39" i="63"/>
  <c r="P40" i="63"/>
  <c r="P41" i="63"/>
  <c r="P42" i="63"/>
  <c r="P43" i="63"/>
  <c r="P44" i="63"/>
  <c r="P45" i="63"/>
  <c r="P46" i="63"/>
  <c r="P47" i="63"/>
  <c r="P48" i="63"/>
  <c r="P49" i="63"/>
  <c r="P50" i="63"/>
  <c r="P51" i="63"/>
  <c r="P52" i="63"/>
  <c r="P53" i="63"/>
  <c r="P54" i="63"/>
  <c r="P55" i="63"/>
  <c r="P56" i="63"/>
  <c r="P57" i="63"/>
  <c r="P58" i="63"/>
  <c r="P59" i="63"/>
  <c r="P60" i="63"/>
  <c r="P61" i="63"/>
  <c r="P62" i="63"/>
  <c r="P63" i="63"/>
  <c r="P64" i="63"/>
  <c r="P65" i="63"/>
  <c r="P66" i="63"/>
  <c r="P67" i="63"/>
  <c r="P68" i="63"/>
  <c r="P69" i="63"/>
  <c r="P70" i="63"/>
  <c r="P71" i="63"/>
  <c r="P72" i="63"/>
  <c r="P73" i="63"/>
  <c r="P74" i="63"/>
  <c r="P75" i="63"/>
  <c r="P76" i="63"/>
  <c r="P77" i="63"/>
  <c r="P78" i="63"/>
  <c r="P79" i="63"/>
  <c r="P80" i="63"/>
  <c r="P81" i="63"/>
  <c r="P82" i="63"/>
  <c r="P83" i="63"/>
  <c r="P84" i="63"/>
  <c r="P85" i="63"/>
  <c r="P86" i="63"/>
  <c r="P87" i="63"/>
  <c r="P88" i="63"/>
  <c r="P89" i="63"/>
  <c r="P90" i="63"/>
  <c r="P91" i="63"/>
  <c r="P92" i="63"/>
  <c r="P93" i="63"/>
  <c r="P94" i="63"/>
  <c r="P95" i="63"/>
  <c r="P3" i="63"/>
  <c r="P4" i="62"/>
  <c r="P5" i="62"/>
  <c r="P6" i="62"/>
  <c r="P7" i="62"/>
  <c r="P8" i="62"/>
  <c r="P9" i="62"/>
  <c r="P10" i="62"/>
  <c r="P11" i="62"/>
  <c r="P12" i="62"/>
  <c r="P13" i="62"/>
  <c r="P3" i="62"/>
  <c r="O26" i="61"/>
  <c r="P4" i="61"/>
  <c r="P5" i="61"/>
  <c r="P6" i="61"/>
  <c r="P7" i="61"/>
  <c r="P8" i="61"/>
  <c r="P9" i="61"/>
  <c r="P10" i="61"/>
  <c r="P11" i="61"/>
  <c r="P12" i="61"/>
  <c r="P13" i="61"/>
  <c r="P14" i="61"/>
  <c r="P15" i="61"/>
  <c r="P16" i="61"/>
  <c r="P17" i="61"/>
  <c r="P18" i="61"/>
  <c r="P19" i="61"/>
  <c r="P20" i="61"/>
  <c r="P21" i="61"/>
  <c r="P22" i="61"/>
  <c r="P23" i="61"/>
  <c r="P24" i="61"/>
  <c r="P25" i="61"/>
  <c r="P3" i="61"/>
  <c r="O15" i="60"/>
  <c r="P4" i="60"/>
  <c r="P5" i="60"/>
  <c r="P6" i="60"/>
  <c r="P7" i="60"/>
  <c r="P8" i="60"/>
  <c r="P9" i="60"/>
  <c r="P10" i="60"/>
  <c r="P11" i="60"/>
  <c r="P12" i="60"/>
  <c r="P13" i="60"/>
  <c r="P14" i="60"/>
  <c r="P3" i="60"/>
  <c r="P4" i="59"/>
  <c r="P5" i="59"/>
  <c r="P6" i="59"/>
  <c r="P3" i="59"/>
  <c r="O18" i="58"/>
  <c r="P4" i="58"/>
  <c r="P5" i="58"/>
  <c r="P6" i="58"/>
  <c r="P7" i="58"/>
  <c r="P8" i="58"/>
  <c r="P9" i="58"/>
  <c r="P10" i="58"/>
  <c r="P11" i="58"/>
  <c r="P12" i="58"/>
  <c r="P13" i="58"/>
  <c r="P14" i="58"/>
  <c r="P15" i="58"/>
  <c r="P16" i="58"/>
  <c r="P17" i="58"/>
  <c r="P3" i="58"/>
  <c r="N15" i="57"/>
  <c r="O15" i="57"/>
  <c r="P4" i="57"/>
  <c r="P5" i="57"/>
  <c r="P6" i="57"/>
  <c r="P7" i="57"/>
  <c r="P8" i="57"/>
  <c r="P9" i="57"/>
  <c r="P10" i="57"/>
  <c r="P11" i="57"/>
  <c r="P12" i="57"/>
  <c r="P13" i="57"/>
  <c r="P14" i="57"/>
  <c r="P3" i="57"/>
  <c r="N42" i="26"/>
  <c r="O42" i="26"/>
  <c r="P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3" i="26"/>
  <c r="G27" i="2"/>
  <c r="J27" i="2" s="1"/>
  <c r="C27" i="2"/>
  <c r="B27" i="2"/>
  <c r="G26" i="2"/>
  <c r="J26" i="2" s="1"/>
  <c r="C26" i="2"/>
  <c r="B26" i="2"/>
  <c r="G25" i="2"/>
  <c r="J25" i="2" s="1"/>
  <c r="C25" i="2"/>
  <c r="B25" i="2"/>
  <c r="G24" i="2"/>
  <c r="C24" i="2"/>
  <c r="B24" i="2"/>
  <c r="G23" i="2"/>
  <c r="J23" i="2" s="1"/>
  <c r="C23" i="2"/>
  <c r="B23" i="2"/>
  <c r="G22" i="2"/>
  <c r="C22" i="2"/>
  <c r="B22" i="2"/>
  <c r="J21" i="2"/>
  <c r="C21" i="2"/>
  <c r="B21" i="2"/>
  <c r="G20" i="2"/>
  <c r="J20" i="2" s="1"/>
  <c r="C20" i="2"/>
  <c r="B20" i="2"/>
  <c r="G19" i="2"/>
  <c r="E27" i="2"/>
  <c r="E26" i="2"/>
  <c r="E25" i="2"/>
  <c r="E24" i="2"/>
  <c r="E23" i="2"/>
  <c r="E22" i="2"/>
  <c r="E21" i="2"/>
  <c r="E20" i="2"/>
  <c r="E19" i="2"/>
  <c r="C19" i="2"/>
  <c r="B19" i="2"/>
  <c r="G18" i="2"/>
  <c r="C18" i="2"/>
  <c r="B18" i="2"/>
  <c r="J24" i="2"/>
  <c r="J22" i="2"/>
  <c r="J28" i="2" l="1"/>
  <c r="M13" i="65"/>
  <c r="M15" i="64"/>
  <c r="P14" i="64"/>
  <c r="P13" i="64"/>
  <c r="P12" i="64"/>
  <c r="P11" i="64"/>
  <c r="P10" i="64"/>
  <c r="P9" i="64"/>
  <c r="P8" i="64"/>
  <c r="P7" i="64"/>
  <c r="P6" i="64"/>
  <c r="P5" i="64"/>
  <c r="P4" i="64"/>
  <c r="P3" i="64"/>
  <c r="M96" i="63"/>
  <c r="M14" i="62"/>
  <c r="M26" i="61"/>
  <c r="M15" i="60"/>
  <c r="M7" i="59"/>
  <c r="M18" i="58"/>
  <c r="P14" i="65" l="1"/>
  <c r="P15" i="65" s="1"/>
  <c r="P16" i="64"/>
  <c r="P17" i="64" s="1"/>
  <c r="P97" i="63"/>
  <c r="P98" i="63" s="1"/>
  <c r="P15" i="62"/>
  <c r="P16" i="62" s="1"/>
  <c r="P27" i="61"/>
  <c r="P28" i="61" s="1"/>
  <c r="O7" i="59"/>
  <c r="P8" i="59" s="1"/>
  <c r="P9" i="59" s="1"/>
  <c r="P19" i="58"/>
  <c r="E18" i="2"/>
  <c r="P16" i="60" l="1"/>
  <c r="P17" i="60" s="1"/>
  <c r="P20" i="58"/>
  <c r="P22" i="58" s="1"/>
  <c r="P17" i="65"/>
  <c r="P16" i="65"/>
  <c r="P18" i="65" s="1"/>
  <c r="P19" i="64"/>
  <c r="P18" i="64"/>
  <c r="P100" i="63"/>
  <c r="P99" i="63"/>
  <c r="P101" i="63" s="1"/>
  <c r="P18" i="62"/>
  <c r="P17" i="62"/>
  <c r="P30" i="61"/>
  <c r="P29" i="61"/>
  <c r="P11" i="59"/>
  <c r="P10" i="59"/>
  <c r="P20" i="64" l="1"/>
  <c r="P19" i="62"/>
  <c r="P31" i="61"/>
  <c r="P19" i="60"/>
  <c r="P18" i="60"/>
  <c r="P12" i="59"/>
  <c r="P21" i="58"/>
  <c r="P23" i="58" s="1"/>
  <c r="M15" i="57"/>
  <c r="P20" i="60" l="1"/>
  <c r="P16" i="57" l="1"/>
  <c r="P17" i="57" s="1"/>
  <c r="I33" i="2"/>
  <c r="I32" i="2"/>
  <c r="I34" i="2" s="1"/>
  <c r="P18" i="57" l="1"/>
  <c r="P19" i="57"/>
  <c r="M42" i="26"/>
  <c r="P20" i="57" l="1"/>
  <c r="P43" i="26" l="1"/>
  <c r="P44" i="26" s="1"/>
  <c r="P45" i="26" l="1"/>
  <c r="P46" i="26"/>
  <c r="A19" i="2"/>
  <c r="J19" i="2"/>
  <c r="P47" i="26" l="1"/>
  <c r="I45" i="2"/>
  <c r="J18" i="2"/>
  <c r="J30" i="2" l="1"/>
  <c r="J31" i="2" s="1"/>
  <c r="J33" i="2" l="1"/>
  <c r="J32" i="2"/>
  <c r="J34" i="2" l="1"/>
</calcChain>
</file>

<file path=xl/sharedStrings.xml><?xml version="1.0" encoding="utf-8"?>
<sst xmlns="http://schemas.openxmlformats.org/spreadsheetml/2006/main" count="1470" uniqueCount="322">
  <si>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</si>
  <si>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</si>
  <si>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</si>
  <si>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</si>
  <si>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</si>
  <si>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</si>
  <si>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</si>
  <si>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</si>
  <si>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</si>
  <si>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</si>
  <si>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</si>
  <si>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</si>
  <si>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</si>
  <si>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</si>
  <si>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</si>
  <si>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</si>
  <si>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</si>
  <si>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</si>
  <si>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</si>
  <si>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</si>
  <si>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</si>
  <si>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</si>
  <si>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</si>
  <si>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</si>
  <si>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</si>
  <si>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</si>
  <si>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</si>
  <si>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</si>
  <si>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</si>
  <si>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</si>
  <si>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</si>
  <si>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</si>
  <si>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</si>
  <si>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</si>
  <si>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</si>
  <si>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</si>
  <si>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</si>
  <si>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</si>
  <si>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</si>
  <si>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</si>
  <si>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</si>
  <si>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</si>
  <si>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</si>
  <si>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</si>
  <si>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</si>
  <si>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</si>
  <si>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</si>
  <si>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</si>
  <si>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</si>
  <si>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</si>
  <si>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</si>
  <si>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</si>
  <si>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</si>
  <si>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</si>
  <si>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</si>
  <si>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</si>
  <si>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TANJUNG PINANG</t>
  </si>
  <si>
    <t>PENGIRIMAN BARANG TUJUAN TANJUNG PINANG</t>
  </si>
  <si>
    <t>DMD/2110/18/ROAB0561</t>
  </si>
  <si>
    <t>GSK211018IWX206</t>
  </si>
  <si>
    <t>DMD/2110/18/LEOK2198</t>
  </si>
  <si>
    <t>GSK211008WHD098</t>
  </si>
  <si>
    <t>GSK211009CTG427</t>
  </si>
  <si>
    <t>GSK211009GIH781</t>
  </si>
  <si>
    <t>GSK211009BFL906</t>
  </si>
  <si>
    <t>GSK211009SRF781</t>
  </si>
  <si>
    <t>GSK211009IVC978</t>
  </si>
  <si>
    <t>GSK211009AOE196</t>
  </si>
  <si>
    <t>GSK211009BKF319</t>
  </si>
  <si>
    <t>GSK211009PXW173</t>
  </si>
  <si>
    <t>GSK211009MIH745</t>
  </si>
  <si>
    <t>GSK211009KQZ823</t>
  </si>
  <si>
    <t>GSK211009BNT754</t>
  </si>
  <si>
    <t>GSK211018SPB639</t>
  </si>
  <si>
    <t>GSK211018HXL957</t>
  </si>
  <si>
    <t>GSK211018GZX640</t>
  </si>
  <si>
    <t>GSK211018VPF480</t>
  </si>
  <si>
    <t>GSK211018KZS031</t>
  </si>
  <si>
    <t>GSK211018YVB062</t>
  </si>
  <si>
    <t>GSK211018XJY415</t>
  </si>
  <si>
    <t>GSK211018QRU127</t>
  </si>
  <si>
    <t>GSK211018LVP184</t>
  </si>
  <si>
    <t>GSK211018AYT658</t>
  </si>
  <si>
    <t>GSK211018AET873</t>
  </si>
  <si>
    <t>GSK211018ULB073</t>
  </si>
  <si>
    <t>GSK211018IGR157</t>
  </si>
  <si>
    <t>GSK211018DRZ407</t>
  </si>
  <si>
    <t>GSK211018CDF240</t>
  </si>
  <si>
    <t>GSK211018ZUG679</t>
  </si>
  <si>
    <t>GSK211018MOB642</t>
  </si>
  <si>
    <t>GSK211009TKD681</t>
  </si>
  <si>
    <t>GSK210921MXC021</t>
  </si>
  <si>
    <t>GSK211009JPH018</t>
  </si>
  <si>
    <t>GSK210921DVM190</t>
  </si>
  <si>
    <t>GSK210921MJB795</t>
  </si>
  <si>
    <t>GSK211018TOS821</t>
  </si>
  <si>
    <t>GSK211018WZL254</t>
  </si>
  <si>
    <t>GSK211001GZY974</t>
  </si>
  <si>
    <t>GSK211018LZY486</t>
  </si>
  <si>
    <t>DMP TNJ (T.PINANG)</t>
  </si>
  <si>
    <t>KM SEMBILANG</t>
  </si>
  <si>
    <t>19-Okt-21</t>
  </si>
  <si>
    <t>23/10/2021 M.FIKRI</t>
  </si>
  <si>
    <t>DMD/2110/23/BDTG0361</t>
  </si>
  <si>
    <t>GSK211020LZP386</t>
  </si>
  <si>
    <t>GSK211023OFD948</t>
  </si>
  <si>
    <t>GSK211023DVJ017</t>
  </si>
  <si>
    <t>GSK211023QBM702</t>
  </si>
  <si>
    <t>GSK211023AHU627</t>
  </si>
  <si>
    <t>GSK211023FSV904</t>
  </si>
  <si>
    <t>GSK211023QDU098</t>
  </si>
  <si>
    <t>GSK211023YOQ916</t>
  </si>
  <si>
    <t>GSK211023LHV782</t>
  </si>
  <si>
    <t>GSK211023IUH785</t>
  </si>
  <si>
    <t>GSK211023ZXR582</t>
  </si>
  <si>
    <t>GSK211023VIO523</t>
  </si>
  <si>
    <t>23-Okt-21</t>
  </si>
  <si>
    <t>27/10/2021 M.FIKRI</t>
  </si>
  <si>
    <t>DMD/2110/24/WGMA3871</t>
  </si>
  <si>
    <t>GSK211024ZHM483</t>
  </si>
  <si>
    <t>GSK211024RUC423</t>
  </si>
  <si>
    <t>GSK211024RPF712</t>
  </si>
  <si>
    <t>GSK211024VQH763</t>
  </si>
  <si>
    <t>GSK211024LQO521</t>
  </si>
  <si>
    <t>GSK211024SMP064</t>
  </si>
  <si>
    <t>GSK211024BXO608</t>
  </si>
  <si>
    <t>GSK211024VLJ658</t>
  </si>
  <si>
    <t>GSK211024ZJC873</t>
  </si>
  <si>
    <t>GSK211024TSG856</t>
  </si>
  <si>
    <t>GSK211024VRD580</t>
  </si>
  <si>
    <t>GSK211024ZCY274</t>
  </si>
  <si>
    <t>GSK211024JRL971</t>
  </si>
  <si>
    <t>GSK211024WDZ263</t>
  </si>
  <si>
    <t>GSK211024CLH379</t>
  </si>
  <si>
    <t>24-Okt-21</t>
  </si>
  <si>
    <t>KM SATRIA PRATAMA</t>
  </si>
  <si>
    <t>27-Okt-21</t>
  </si>
  <si>
    <t>30/10/2021 M.FIKRI</t>
  </si>
  <si>
    <t>DMD/2110/25/VHSD3187</t>
  </si>
  <si>
    <t>GSK211024GWR308</t>
  </si>
  <si>
    <t>GSK211024JKQ247</t>
  </si>
  <si>
    <t>GSK211025VYE017</t>
  </si>
  <si>
    <t>GSK211024WVJ781</t>
  </si>
  <si>
    <t>25-Okt-21</t>
  </si>
  <si>
    <t>DMD/2110/26/DLFJ7439</t>
  </si>
  <si>
    <t>GSK211026QZG496</t>
  </si>
  <si>
    <t>GSK211026NUR685</t>
  </si>
  <si>
    <t>GSK211026YBI052</t>
  </si>
  <si>
    <t>GSK211026JUZ205</t>
  </si>
  <si>
    <t>GSK211026INM420</t>
  </si>
  <si>
    <t>GSK211026VRO752</t>
  </si>
  <si>
    <t>GSK211024SLH493</t>
  </si>
  <si>
    <t>GSK211026DES965</t>
  </si>
  <si>
    <t>GSK211026TYB915</t>
  </si>
  <si>
    <t>GSK211026JZE345</t>
  </si>
  <si>
    <t>GSK211026LDC127</t>
  </si>
  <si>
    <t>GSK211026EHS837</t>
  </si>
  <si>
    <t>26-Okt-21</t>
  </si>
  <si>
    <t xml:space="preserve"> DMD/2110/27/AUCE5607  </t>
  </si>
  <si>
    <t>GSK211027IMQ681</t>
  </si>
  <si>
    <t>DMD/2110/27/BLEM7201</t>
  </si>
  <si>
    <t>GSK211027DKJ437</t>
  </si>
  <si>
    <t>GSK211027GBU781</t>
  </si>
  <si>
    <t>GSK211027XDU264</t>
  </si>
  <si>
    <t>GSK211027UHS785</t>
  </si>
  <si>
    <t>GSK211027MLA872</t>
  </si>
  <si>
    <t>GSK211027FBC680</t>
  </si>
  <si>
    <t>GSK211027DEM576</t>
  </si>
  <si>
    <t>GSK211027JCW241</t>
  </si>
  <si>
    <t>GSK211027GHD528</t>
  </si>
  <si>
    <t>GSK211027COD598</t>
  </si>
  <si>
    <t>GSK211027ZSL439</t>
  </si>
  <si>
    <t>GSK211027YOI091</t>
  </si>
  <si>
    <t>GSK211027XTV942</t>
  </si>
  <si>
    <t>GSK211027YGT031</t>
  </si>
  <si>
    <t>GSK211027DQH705</t>
  </si>
  <si>
    <t>GSK211027NKW045</t>
  </si>
  <si>
    <t>GSK211027MBV156</t>
  </si>
  <si>
    <t>GSK211027MIN862</t>
  </si>
  <si>
    <t>GSK211027TWF784</t>
  </si>
  <si>
    <t>GSK211027JRK795</t>
  </si>
  <si>
    <t>GSK211027ZCA396</t>
  </si>
  <si>
    <t>GSK211027AIY274</t>
  </si>
  <si>
    <t>1/11/2021 M.FIKRI</t>
  </si>
  <si>
    <t>DMD/2110/28/UQWT6950</t>
  </si>
  <si>
    <t>GSK211028ZRW410</t>
  </si>
  <si>
    <t>GSK211028TFQ517</t>
  </si>
  <si>
    <t>GSK211028QOC205</t>
  </si>
  <si>
    <t>GSK211028TKE260</t>
  </si>
  <si>
    <t>GSK211028DIO491</t>
  </si>
  <si>
    <t>GSK211028XHB785</t>
  </si>
  <si>
    <t>GSK211028AVH342</t>
  </si>
  <si>
    <t>GSK211028PBQ189</t>
  </si>
  <si>
    <t>GSK211028BFY675</t>
  </si>
  <si>
    <t>GSK211028WTZ951</t>
  </si>
  <si>
    <t>GSK211027LXI785</t>
  </si>
  <si>
    <t>28-Okt-21</t>
  </si>
  <si>
    <t>DMD/2110/29/WJIR9742</t>
  </si>
  <si>
    <t>GSK211029VKL347</t>
  </si>
  <si>
    <t>GSK211029JLY073</t>
  </si>
  <si>
    <t>GSK211029BWQ396</t>
  </si>
  <si>
    <t>GSK211029RYV409</t>
  </si>
  <si>
    <t>GSK211029DOQ920</t>
  </si>
  <si>
    <t>GSK211029MLA307</t>
  </si>
  <si>
    <t>GSK211029ZJE862</t>
  </si>
  <si>
    <t>GSK211029VDM236</t>
  </si>
  <si>
    <t>GSK211029LDE189</t>
  </si>
  <si>
    <t>GSK211029NIK849</t>
  </si>
  <si>
    <t>GSK211029LGK572</t>
  </si>
  <si>
    <t>GSK211029KGR514</t>
  </si>
  <si>
    <t>GSK211029QNF189</t>
  </si>
  <si>
    <t>GSK211029EOU354</t>
  </si>
  <si>
    <t>GSK211029EHV283</t>
  </si>
  <si>
    <t>GSK211029TEL092</t>
  </si>
  <si>
    <t>GSK211029TSX128</t>
  </si>
  <si>
    <t>GSK211029TSN269</t>
  </si>
  <si>
    <t>GSK211029XPL451</t>
  </si>
  <si>
    <t>GSK211029FYU539</t>
  </si>
  <si>
    <t>GSK211029GIP246</t>
  </si>
  <si>
    <t>GSK211029PGC973</t>
  </si>
  <si>
    <t>GSK211029XZT368</t>
  </si>
  <si>
    <t>GSK211029ZQB412</t>
  </si>
  <si>
    <t>GSK211029VWY037</t>
  </si>
  <si>
    <t>GSK211029OLI124</t>
  </si>
  <si>
    <t>GSK211029NGQ024</t>
  </si>
  <si>
    <t>GSK211029LXU910</t>
  </si>
  <si>
    <t>GSK211029GWX147</t>
  </si>
  <si>
    <t>GSK211029AWB823</t>
  </si>
  <si>
    <t>GSK211029NEP983</t>
  </si>
  <si>
    <t>GSK211029FMR571</t>
  </si>
  <si>
    <t>GSK211029FPG819</t>
  </si>
  <si>
    <t>GSK211029JVH469</t>
  </si>
  <si>
    <t>GSK211029UZD639</t>
  </si>
  <si>
    <t>GSK211029TKG945</t>
  </si>
  <si>
    <t>GSK211029OYX704</t>
  </si>
  <si>
    <t>GSK211029SGC481</t>
  </si>
  <si>
    <t>GSK211029GTA758</t>
  </si>
  <si>
    <t>GSK211029DNG712</t>
  </si>
  <si>
    <t>GSK211029QTZ459</t>
  </si>
  <si>
    <t>GSK211029ONQ820</t>
  </si>
  <si>
    <t>GSK211029MOD321</t>
  </si>
  <si>
    <t>GSK211029KDG048</t>
  </si>
  <si>
    <t>GSK211029NOW856</t>
  </si>
  <si>
    <t>GSK211029FVT071</t>
  </si>
  <si>
    <t>GSK211029HDQ261</t>
  </si>
  <si>
    <t>GSK211029LVN071</t>
  </si>
  <si>
    <t>GSK211029DYM734</t>
  </si>
  <si>
    <t>GSK211029WTM427</t>
  </si>
  <si>
    <t>GSK211029CSV521</t>
  </si>
  <si>
    <t>GSK211029WPQ507</t>
  </si>
  <si>
    <t>GSK211029BDL342</t>
  </si>
  <si>
    <t>GSK211029EUO368</t>
  </si>
  <si>
    <t>GSK211029PKZ423</t>
  </si>
  <si>
    <t>GSK211029KOJ594</t>
  </si>
  <si>
    <t>GSK211029EUJ596</t>
  </si>
  <si>
    <t>GSK211029FJH035</t>
  </si>
  <si>
    <t>GSK211029NEM125</t>
  </si>
  <si>
    <t>GSK211029KNS548</t>
  </si>
  <si>
    <t>GSK211029QXE472</t>
  </si>
  <si>
    <t>GSK211029ZFL497</t>
  </si>
  <si>
    <t>GSK211029ACW387</t>
  </si>
  <si>
    <t>GSK211029LZN792</t>
  </si>
  <si>
    <t>GSK211029PFV840</t>
  </si>
  <si>
    <t>GSK211029JVB094</t>
  </si>
  <si>
    <t>GSK211029VWQ534</t>
  </si>
  <si>
    <t>GSK211029TLM450</t>
  </si>
  <si>
    <t>GSK211029XMW652</t>
  </si>
  <si>
    <t>GSK211029QPV563</t>
  </si>
  <si>
    <t>GSK211029YJI195</t>
  </si>
  <si>
    <t>GSK211029JSC983</t>
  </si>
  <si>
    <t>GSK211029XFW543</t>
  </si>
  <si>
    <t>GSK211029ZUB912</t>
  </si>
  <si>
    <t>GSK211029XMR839</t>
  </si>
  <si>
    <t>GSK211029AZP290</t>
  </si>
  <si>
    <t>GSK211029LYD029</t>
  </si>
  <si>
    <t>GSK211029FWE892</t>
  </si>
  <si>
    <t>GSK211029XDC324</t>
  </si>
  <si>
    <t>GSK211029TBY613</t>
  </si>
  <si>
    <t>GSK211029JZB539</t>
  </si>
  <si>
    <t>GSK211029RLS327</t>
  </si>
  <si>
    <t>GSK211029AXL157</t>
  </si>
  <si>
    <t>GSK211029IRB402</t>
  </si>
  <si>
    <t>GSK211029GIV317</t>
  </si>
  <si>
    <t>GSK211029UNC140</t>
  </si>
  <si>
    <t>GSK211029QUV648</t>
  </si>
  <si>
    <t>GSK211029EAS681</t>
  </si>
  <si>
    <t>GSK211029NSK738</t>
  </si>
  <si>
    <t>GSK211029INH026</t>
  </si>
  <si>
    <t>GSK211029VQX173</t>
  </si>
  <si>
    <t>GSK211029UNH807</t>
  </si>
  <si>
    <t>GSK211029XSM947</t>
  </si>
  <si>
    <t>29-Okt-21</t>
  </si>
  <si>
    <t>3/11/2021 M.FIKRI</t>
  </si>
  <si>
    <t>DMD/2110/30/UYWS7093</t>
  </si>
  <si>
    <t>GSK211030KUH432</t>
  </si>
  <si>
    <t>GSK211030LAY265</t>
  </si>
  <si>
    <t>GSK211030SWQ782</t>
  </si>
  <si>
    <t>GSK211030HAJ716</t>
  </si>
  <si>
    <t>GSK211030DUG326</t>
  </si>
  <si>
    <t>GSK211030WDN039</t>
  </si>
  <si>
    <t>GSK211030PBW896</t>
  </si>
  <si>
    <t>GSK211030ONT726</t>
  </si>
  <si>
    <t>GSK211030ISD276</t>
  </si>
  <si>
    <t>GSK211030FIW923</t>
  </si>
  <si>
    <t>GSK211030ESH512</t>
  </si>
  <si>
    <t>GSK211030TZR561</t>
  </si>
  <si>
    <t>DMD/2110/31/RIKM0827</t>
  </si>
  <si>
    <t>GSK211031BQJ123</t>
  </si>
  <si>
    <t>GSK211031AQW735</t>
  </si>
  <si>
    <t>GSK211031ZSN628</t>
  </si>
  <si>
    <t>GSK211031QXN632</t>
  </si>
  <si>
    <t>GSK211031GXE801</t>
  </si>
  <si>
    <t>GSK211031LAZ314</t>
  </si>
  <si>
    <t>GSK211031UTO720</t>
  </si>
  <si>
    <t>GSK211031VPX543</t>
  </si>
  <si>
    <t>GSK211031TOH938</t>
  </si>
  <si>
    <t>GSK211031NGL378</t>
  </si>
  <si>
    <t>6/11/2021 M.FIKRI</t>
  </si>
  <si>
    <t xml:space="preserve"> 046/PCI/PI/XII/21</t>
  </si>
  <si>
    <t xml:space="preserve"> OKTOBER 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</si>
  <si>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Puluh Empat Juta Lima Ratus Tiga Puluh Tiga Ribu Delapan Ratus Tiga Puluh Tujuh Rupiah.</t>
    </r>
  </si>
  <si>
    <t xml:space="preserve"> 16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</si>
</sst>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4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66" fontId="2" fillId="0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 wrapText="1"/>
    </xf>
    <xf numFmtId="166" fontId="18" fillId="0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166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1" fontId="9" fillId="4" borderId="4" xfId="3" applyNumberFormat="1" applyFont="1" applyFill="1" applyBorder="1" applyAlignment="1">
      <alignment horizontal="center" vertical="center" wrapText="1"/>
    </xf>
    <xf numFmtId="1" fontId="9" fillId="0" borderId="0" xfId="0" applyNumberFormat="1" applyFont="1"/>
    <xf numFmtId="1" fontId="9" fillId="0" borderId="5" xfId="0" applyNumberFormat="1" applyFont="1" applyBorder="1"/>
    <xf numFmtId="1" fontId="8" fillId="3" borderId="11" xfId="0" applyNumberFormat="1" applyFont="1" applyFill="1" applyBorder="1" applyAlignment="1">
      <alignment horizontal="center"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1" fontId="8" fillId="0" borderId="0" xfId="3" applyNumberFormat="1" applyFont="1" applyAlignment="1">
      <alignment horizontal="left" vertical="center"/>
    </xf>
    <xf numFmtId="1" fontId="17" fillId="0" borderId="0" xfId="3" applyNumberFormat="1" applyFont="1" applyBorder="1" applyAlignment="1">
      <alignment horizontal="left" vertical="center"/>
    </xf>
    <xf numFmtId="1" fontId="8" fillId="0" borderId="5" xfId="3" applyNumberFormat="1" applyFont="1" applyBorder="1" applyAlignment="1">
      <alignment horizontal="left" vertical="center"/>
    </xf>
    <xf numFmtId="1" fontId="8" fillId="0" borderId="0" xfId="3" applyNumberFormat="1" applyFont="1"/>
    <xf numFmtId="1" fontId="8" fillId="0" borderId="0" xfId="0" applyNumberFormat="1" applyFont="1"/>
    <xf numFmtId="1" fontId="9" fillId="0" borderId="0" xfId="0" applyNumberFormat="1" applyFont="1" applyBorder="1"/>
    <xf numFmtId="0" fontId="1" fillId="0" borderId="1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167" fontId="9" fillId="0" borderId="24" xfId="3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6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44</xdr:row>
      <xdr:rowOff>96554</xdr:rowOff>
    </xdr:from>
    <xdr:to>
      <xdr:col>15</xdr:col>
      <xdr:colOff>142875</xdr:colOff>
      <xdr:row>50</xdr:row>
      <xdr:rowOff>142874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1574612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41" totalsRowShown="0" headerRowDxfId="160" dataDxfId="158" headerRowBorderDxfId="159">
  <tableColumns count="12">
    <tableColumn id="1" name="NOMOR" dataDxfId="157" dataCellStyle="Normal"/>
    <tableColumn id="3" name="TUJUAN" dataDxfId="156" dataCellStyle="Normal"/>
    <tableColumn id="16" name="Pick Up" dataDxfId="155"/>
    <tableColumn id="14" name="KAPAL" dataDxfId="154"/>
    <tableColumn id="15" name="ETD Kapal" dataDxfId="153"/>
    <tableColumn id="10" name="KETERANGAN" dataDxfId="152" dataCellStyle="Normal"/>
    <tableColumn id="5" name="P" dataDxfId="151" dataCellStyle="Normal"/>
    <tableColumn id="6" name="L" dataDxfId="150" dataCellStyle="Normal"/>
    <tableColumn id="7" name="T" dataDxfId="149" dataCellStyle="Normal"/>
    <tableColumn id="4" name="ACT KG" dataDxfId="148" dataCellStyle="Normal"/>
    <tableColumn id="8" name="KG VOLUME" dataDxfId="147" dataCellStyle="Normal"/>
    <tableColumn id="19" name="PEMBULATAN" dataDxfId="14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Table2245789101123512" displayName="Table2245789101123512" ref="C2:N12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14" totalsRowShown="0" headerRowDxfId="144" dataDxfId="142" headerRowBorderDxfId="143">
  <tableColumns count="12">
    <tableColumn id="1" name="NOMOR" dataDxfId="141" dataCellStyle="Normal"/>
    <tableColumn id="3" name="TUJUAN" dataDxfId="140" dataCellStyle="Normal"/>
    <tableColumn id="16" name="Pick Up" dataDxfId="139"/>
    <tableColumn id="14" name="KAPAL" dataDxfId="138"/>
    <tableColumn id="15" name="ETD Kapal" dataDxfId="137"/>
    <tableColumn id="10" name="KETERANGAN" dataDxfId="136" dataCellStyle="Normal"/>
    <tableColumn id="5" name="P" dataDxfId="135" dataCellStyle="Normal"/>
    <tableColumn id="6" name="L" dataDxfId="134" dataCellStyle="Normal"/>
    <tableColumn id="7" name="T" dataDxfId="133" dataCellStyle="Normal"/>
    <tableColumn id="4" name="ACT KG" dataDxfId="132" dataCellStyle="Normal"/>
    <tableColumn id="8" name="KG VOLUME" dataDxfId="131" dataCellStyle="Normal"/>
    <tableColumn id="19" name="PEMBULATAN" dataDxfId="13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22457891011235" displayName="Table22457891011235" ref="C2:N17" totalsRowShown="0" headerRowDxfId="128" dataDxfId="126" headerRowBorderDxfId="127">
  <tableColumns count="12">
    <tableColumn id="1" name="NOMOR" dataDxfId="125" dataCellStyle="Normal"/>
    <tableColumn id="3" name="TUJUAN" dataDxfId="124" dataCellStyle="Normal"/>
    <tableColumn id="16" name="Pick Up" dataDxfId="123"/>
    <tableColumn id="14" name="KAPAL" dataDxfId="122"/>
    <tableColumn id="15" name="ETD Kapal" dataDxfId="121"/>
    <tableColumn id="10" name="KETERANGAN" dataDxfId="120" dataCellStyle="Normal"/>
    <tableColumn id="5" name="P" dataDxfId="119" dataCellStyle="Normal"/>
    <tableColumn id="6" name="L" dataDxfId="118" dataCellStyle="Normal"/>
    <tableColumn id="7" name="T" dataDxfId="117" dataCellStyle="Normal"/>
    <tableColumn id="4" name="ACT KG" dataDxfId="116" dataCellStyle="Normal"/>
    <tableColumn id="8" name="KG VOLUME" dataDxfId="115" dataCellStyle="Normal"/>
    <tableColumn id="19" name="PEMBULATAN" dataDxfId="114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5" name="Table224578910112356" displayName="Table224578910112356" ref="C2:N6" totalsRowShown="0" headerRowDxfId="112" dataDxfId="110" headerRowBorderDxfId="111">
  <tableColumns count="12">
    <tableColumn id="1" name="NOMOR" dataDxfId="109" dataCellStyle="Normal"/>
    <tableColumn id="3" name="TUJUAN" dataDxfId="108" dataCellStyle="Normal"/>
    <tableColumn id="16" name="Pick Up" dataDxfId="107"/>
    <tableColumn id="14" name="KAPAL" dataDxfId="106"/>
    <tableColumn id="15" name="ETD Kapal" dataDxfId="105"/>
    <tableColumn id="10" name="KETERANGAN" dataDxfId="104" dataCellStyle="Normal"/>
    <tableColumn id="5" name="P" dataDxfId="103" dataCellStyle="Normal"/>
    <tableColumn id="6" name="L" dataDxfId="102" dataCellStyle="Normal"/>
    <tableColumn id="7" name="T" dataDxfId="101" dataCellStyle="Normal"/>
    <tableColumn id="4" name="ACT KG" dataDxfId="100" dataCellStyle="Normal"/>
    <tableColumn id="8" name="KG VOLUME" dataDxfId="99" dataCellStyle="Normal"/>
    <tableColumn id="19" name="PEMBULATAN" dataDxfId="98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6" name="Table224578910112357" displayName="Table224578910112357" ref="C2:N14" totalsRowShown="0" headerRowDxfId="96" dataDxfId="94" headerRowBorderDxfId="95">
  <tableColumns count="12">
    <tableColumn id="1" name="NOMOR" dataDxfId="93" dataCellStyle="Normal"/>
    <tableColumn id="3" name="TUJUAN" dataDxfId="92" dataCellStyle="Normal"/>
    <tableColumn id="16" name="Pick Up" dataDxfId="91"/>
    <tableColumn id="14" name="KAPAL" dataDxfId="90"/>
    <tableColumn id="15" name="ETD Kapal" dataDxfId="89"/>
    <tableColumn id="10" name="KETERANGAN" dataDxfId="88" dataCellStyle="Normal"/>
    <tableColumn id="5" name="P" dataDxfId="87" dataCellStyle="Normal"/>
    <tableColumn id="6" name="L" dataDxfId="86" dataCellStyle="Normal"/>
    <tableColumn id="7" name="T" dataDxfId="85" dataCellStyle="Normal"/>
    <tableColumn id="4" name="ACT KG" dataDxfId="84" dataCellStyle="Normal"/>
    <tableColumn id="8" name="KG VOLUME" dataDxfId="83" dataCellStyle="Normal"/>
    <tableColumn id="19" name="PEMBULATAN" dataDxfId="82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7" name="Table224578910112358" displayName="Table224578910112358" ref="C2:N25" totalsRowShown="0" headerRowDxfId="78" dataDxfId="76" headerRowBorderDxfId="77">
  <tableColumns count="12">
    <tableColumn id="1" name="NOMOR" dataDxfId="75" dataCellStyle="Normal"/>
    <tableColumn id="3" name="TUJUAN" dataDxfId="74" dataCellStyle="Normal"/>
    <tableColumn id="16" name="Pick Up" dataDxfId="73"/>
    <tableColumn id="14" name="KAPAL" dataDxfId="72"/>
    <tableColumn id="15" name="ETD Kapal" dataDxfId="71"/>
    <tableColumn id="10" name="KETERANGAN" dataDxfId="70" dataCellStyle="Normal"/>
    <tableColumn id="5" name="P" dataDxfId="69" dataCellStyle="Normal"/>
    <tableColumn id="6" name="L" dataDxfId="68" dataCellStyle="Normal"/>
    <tableColumn id="7" name="T" dataDxfId="67" dataCellStyle="Normal"/>
    <tableColumn id="4" name="ACT KG" dataDxfId="66" dataCellStyle="Normal"/>
    <tableColumn id="8" name="KG VOLUME" dataDxfId="65" dataCellStyle="Normal"/>
    <tableColumn id="19" name="PEMBULATAN" dataDxfId="64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8" name="Table224578910112359" displayName="Table224578910112359" ref="C2:N13" totalsRowShown="0" headerRowDxfId="62" dataDxfId="60" headerRowBorderDxfId="61">
  <tableColumns count="12">
    <tableColumn id="1" name="NOMOR" dataDxfId="59" dataCellStyle="Normal"/>
    <tableColumn id="3" name="TUJUAN" dataDxfId="58" dataCellStyle="Normal"/>
    <tableColumn id="16" name="Pick Up" dataDxfId="57"/>
    <tableColumn id="14" name="KAPAL" dataDxfId="56"/>
    <tableColumn id="15" name="ETD Kapal" dataDxfId="55"/>
    <tableColumn id="10" name="KETERANGAN" dataDxfId="54" dataCellStyle="Normal"/>
    <tableColumn id="5" name="P" dataDxfId="53" dataCellStyle="Normal"/>
    <tableColumn id="6" name="L" dataDxfId="52" dataCellStyle="Normal"/>
    <tableColumn id="7" name="T" dataDxfId="51" dataCellStyle="Normal"/>
    <tableColumn id="4" name="ACT KG" dataDxfId="50" dataCellStyle="Normal"/>
    <tableColumn id="8" name="KG VOLUME" dataDxfId="49" dataCellStyle="Normal"/>
    <tableColumn id="19" name="PEMBULATAN" dataDxfId="48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Table2245789101123510" displayName="Table2245789101123510" ref="C2:N95" totalsRowShown="0" headerRowDxfId="46" dataDxfId="44" headerRowBorderDxfId="45">
  <tableColumns count="12">
    <tableColumn id="1" name="NOMOR" dataDxfId="43" dataCellStyle="Normal"/>
    <tableColumn id="3" name="TUJUAN" dataDxfId="42" dataCellStyle="Normal"/>
    <tableColumn id="16" name="Pick Up" dataDxfId="41"/>
    <tableColumn id="14" name="KAPAL" dataDxfId="40"/>
    <tableColumn id="15" name="ETD Kapal" dataDxfId="39"/>
    <tableColumn id="10" name="KETERANGAN" dataDxfId="38" dataCellStyle="Normal"/>
    <tableColumn id="5" name="P" dataDxfId="37" dataCellStyle="Normal"/>
    <tableColumn id="6" name="L" dataDxfId="36" dataCellStyle="Normal"/>
    <tableColumn id="7" name="T" dataDxfId="35" dataCellStyle="Normal"/>
    <tableColumn id="4" name="ACT KG" dataDxfId="34" dataCellStyle="Normal"/>
    <tableColumn id="8" name="KG VOLUME" dataDxfId="33" dataCellStyle="Normal"/>
    <tableColumn id="19" name="PEMBULATAN" dataDxfId="32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10" name="Table2245789101123511" displayName="Table2245789101123511" ref="C2:N14" totalsRowShown="0" headerRowDxfId="30" dataDxfId="28" headerRowBorderDxfId="29">
  <tableColumns count="12">
    <tableColumn id="1" name="NOMOR" dataDxfId="27" dataCellStyle="Normal"/>
    <tableColumn id="3" name="TUJUAN" dataDxfId="26" dataCellStyle="Normal"/>
    <tableColumn id="16" name="Pick Up" dataDxfId="25"/>
    <tableColumn id="14" name="KAPAL" dataDxfId="24"/>
    <tableColumn id="15" name="ETD Kapal" dataDxfId="23"/>
    <tableColumn id="10" name="KETERANGAN" dataDxfId="22" dataCellStyle="Normal"/>
    <tableColumn id="5" name="P" dataDxfId="21" dataCellStyle="Normal"/>
    <tableColumn id="6" name="L" dataDxfId="20" dataCellStyle="Normal"/>
    <tableColumn id="7" name="T" dataDxfId="19" dataCellStyle="Normal"/>
    <tableColumn id="4" name="ACT KG" dataDxfId="18" dataCellStyle="Normal"/>
    <tableColumn id="8" name="KG VOLUME" dataDxfId="17" dataCellStyle="Normal"/>
    <tableColumn id="19" name="PEMBULATAN" dataDxfId="16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52"/>
  <sheetViews>
    <sheetView tabSelected="1" workbookViewId="0">
      <selection activeCell="M8" sqref="M8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07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108"/>
      <c r="H9" s="22"/>
      <c r="I9" s="22"/>
      <c r="J9" s="21"/>
    </row>
    <row r="10" spans="1:10" ht="23.25" customHeight="1" thickBot="1" x14ac:dyDescent="0.3">
      <c r="A10" s="119" t="s">
        <v>14</v>
      </c>
      <c r="B10" s="120"/>
      <c r="C10" s="120"/>
      <c r="D10" s="120"/>
      <c r="E10" s="120"/>
      <c r="F10" s="120"/>
      <c r="G10" s="120"/>
      <c r="H10" s="120"/>
      <c r="I10" s="120"/>
      <c r="J10" s="121"/>
    </row>
    <row r="12" spans="1:10" x14ac:dyDescent="0.25">
      <c r="A12" s="18" t="s">
        <v>15</v>
      </c>
      <c r="B12" s="18" t="s">
        <v>16</v>
      </c>
      <c r="G12" s="133" t="s">
        <v>49</v>
      </c>
      <c r="H12" s="133"/>
      <c r="I12" s="23" t="s">
        <v>17</v>
      </c>
      <c r="J12" s="24" t="s">
        <v>318</v>
      </c>
    </row>
    <row r="13" spans="1:10" x14ac:dyDescent="0.25">
      <c r="G13" s="133" t="s">
        <v>18</v>
      </c>
      <c r="H13" s="133"/>
      <c r="I13" s="23" t="s">
        <v>17</v>
      </c>
      <c r="J13" s="25" t="s">
        <v>321</v>
      </c>
    </row>
    <row r="14" spans="1:10" x14ac:dyDescent="0.25">
      <c r="G14" s="133" t="s">
        <v>50</v>
      </c>
      <c r="H14" s="133"/>
      <c r="I14" s="23" t="s">
        <v>17</v>
      </c>
      <c r="J14" s="18" t="s">
        <v>56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319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109" t="s">
        <v>27</v>
      </c>
      <c r="H17" s="122" t="s">
        <v>28</v>
      </c>
      <c r="I17" s="123"/>
      <c r="J17" s="29" t="s">
        <v>29</v>
      </c>
    </row>
    <row r="18" spans="1:12" ht="66" customHeight="1" x14ac:dyDescent="0.25">
      <c r="A18" s="30">
        <v>1</v>
      </c>
      <c r="B18" s="31">
        <f>'402240'!E3</f>
        <v>44487</v>
      </c>
      <c r="C18" s="83">
        <f>'402240'!A3</f>
        <v>402240</v>
      </c>
      <c r="D18" s="32" t="s">
        <v>57</v>
      </c>
      <c r="E18" s="32" t="str">
        <f>'402240'!D3</f>
        <v>DMP TNJ (T.PINANG)</v>
      </c>
      <c r="F18" s="33">
        <v>39</v>
      </c>
      <c r="G18" s="110">
        <f>'402240'!N42</f>
        <v>1323.2075000000009</v>
      </c>
      <c r="H18" s="124">
        <v>7000</v>
      </c>
      <c r="I18" s="125"/>
      <c r="J18" s="34">
        <f>G18*H18</f>
        <v>9262452.5000000056</v>
      </c>
      <c r="L18"/>
    </row>
    <row r="19" spans="1:12" ht="66" customHeight="1" x14ac:dyDescent="0.25">
      <c r="A19" s="30">
        <f>A18+1</f>
        <v>2</v>
      </c>
      <c r="B19" s="31">
        <f>'402245'!E3</f>
        <v>44492</v>
      </c>
      <c r="C19" s="83">
        <f>'402245'!A3</f>
        <v>402245</v>
      </c>
      <c r="D19" s="32" t="s">
        <v>57</v>
      </c>
      <c r="E19" s="32" t="str">
        <f>'402240'!D4</f>
        <v>DMP TNJ (T.PINANG)</v>
      </c>
      <c r="F19" s="33">
        <v>12</v>
      </c>
      <c r="G19" s="106">
        <f>'402245'!N15</f>
        <v>136</v>
      </c>
      <c r="H19" s="124">
        <v>7000</v>
      </c>
      <c r="I19" s="125"/>
      <c r="J19" s="34">
        <f t="shared" ref="J19" si="0">G19*H19</f>
        <v>952000</v>
      </c>
      <c r="L19"/>
    </row>
    <row r="20" spans="1:12" ht="66" customHeight="1" x14ac:dyDescent="0.25">
      <c r="A20" s="30">
        <f t="shared" ref="A20:A27" si="1">A19+1</f>
        <v>3</v>
      </c>
      <c r="B20" s="31" t="str">
        <f>'401500'!E3</f>
        <v>24-Okt-21</v>
      </c>
      <c r="C20" s="83">
        <f>'401500'!A3</f>
        <v>401500</v>
      </c>
      <c r="D20" s="32" t="s">
        <v>57</v>
      </c>
      <c r="E20" s="32" t="str">
        <f>'402240'!D5</f>
        <v>DMP TNJ (T.PINANG)</v>
      </c>
      <c r="F20" s="33">
        <v>15</v>
      </c>
      <c r="G20" s="106">
        <f>'401500'!N18</f>
        <v>359.86500000000001</v>
      </c>
      <c r="H20" s="124">
        <v>7000</v>
      </c>
      <c r="I20" s="125"/>
      <c r="J20" s="34">
        <f t="shared" ref="J20:J27" si="2">G20*H20</f>
        <v>2519055</v>
      </c>
      <c r="L20"/>
    </row>
    <row r="21" spans="1:12" ht="66" customHeight="1" x14ac:dyDescent="0.25">
      <c r="A21" s="30">
        <f t="shared" si="1"/>
        <v>4</v>
      </c>
      <c r="B21" s="31" t="str">
        <f>'402250'!E3</f>
        <v>25-Okt-21</v>
      </c>
      <c r="C21" s="83">
        <f>'402250'!A3</f>
        <v>402250</v>
      </c>
      <c r="D21" s="32" t="s">
        <v>57</v>
      </c>
      <c r="E21" s="32" t="str">
        <f>'402240'!D6</f>
        <v>DMP TNJ (T.PINANG)</v>
      </c>
      <c r="F21" s="33">
        <v>4</v>
      </c>
      <c r="G21" s="106">
        <v>100</v>
      </c>
      <c r="H21" s="124">
        <v>7000</v>
      </c>
      <c r="I21" s="125"/>
      <c r="J21" s="34">
        <f t="shared" si="2"/>
        <v>700000</v>
      </c>
      <c r="L21"/>
    </row>
    <row r="22" spans="1:12" ht="66" customHeight="1" x14ac:dyDescent="0.25">
      <c r="A22" s="30">
        <f t="shared" si="1"/>
        <v>5</v>
      </c>
      <c r="B22" s="31" t="str">
        <f>'402424'!E3</f>
        <v>26-Okt-21</v>
      </c>
      <c r="C22" s="83">
        <f>'402424'!A3</f>
        <v>402424</v>
      </c>
      <c r="D22" s="32" t="s">
        <v>57</v>
      </c>
      <c r="E22" s="32" t="str">
        <f>'402240'!D7</f>
        <v>DMP TNJ (T.PINANG)</v>
      </c>
      <c r="F22" s="33">
        <v>12</v>
      </c>
      <c r="G22" s="106">
        <f>'402424'!N15</f>
        <v>367.20799999999997</v>
      </c>
      <c r="H22" s="124">
        <v>7000</v>
      </c>
      <c r="I22" s="125"/>
      <c r="J22" s="34">
        <f t="shared" si="2"/>
        <v>2570456</v>
      </c>
      <c r="L22"/>
    </row>
    <row r="23" spans="1:12" ht="66" customHeight="1" x14ac:dyDescent="0.25">
      <c r="A23" s="30">
        <f t="shared" si="1"/>
        <v>6</v>
      </c>
      <c r="B23" s="31" t="str">
        <f>'402439'!E3</f>
        <v>28-Okt-21</v>
      </c>
      <c r="C23" s="83">
        <f>'402434'!A3</f>
        <v>402434</v>
      </c>
      <c r="D23" s="32" t="s">
        <v>57</v>
      </c>
      <c r="E23" s="32" t="str">
        <f>'402240'!D8</f>
        <v>DMP TNJ (T.PINANG)</v>
      </c>
      <c r="F23" s="33">
        <v>23</v>
      </c>
      <c r="G23" s="106">
        <f>'402434'!N26</f>
        <v>690.42550000000006</v>
      </c>
      <c r="H23" s="124">
        <v>7000</v>
      </c>
      <c r="I23" s="125"/>
      <c r="J23" s="34">
        <f t="shared" si="2"/>
        <v>4832978.5</v>
      </c>
      <c r="L23"/>
    </row>
    <row r="24" spans="1:12" ht="66" customHeight="1" x14ac:dyDescent="0.25">
      <c r="A24" s="30">
        <f t="shared" si="1"/>
        <v>7</v>
      </c>
      <c r="B24" s="31" t="str">
        <f>'402439'!E3</f>
        <v>28-Okt-21</v>
      </c>
      <c r="C24" s="83">
        <f>'402439'!A3</f>
        <v>402439</v>
      </c>
      <c r="D24" s="32" t="s">
        <v>57</v>
      </c>
      <c r="E24" s="32" t="str">
        <f>'402240'!D9</f>
        <v>DMP TNJ (T.PINANG)</v>
      </c>
      <c r="F24" s="33">
        <v>11</v>
      </c>
      <c r="G24" s="106">
        <f>'402439'!N14</f>
        <v>405.15000000000003</v>
      </c>
      <c r="H24" s="124">
        <v>7000</v>
      </c>
      <c r="I24" s="125"/>
      <c r="J24" s="34">
        <f t="shared" si="2"/>
        <v>2836050.0000000005</v>
      </c>
      <c r="L24"/>
    </row>
    <row r="25" spans="1:12" ht="66" customHeight="1" x14ac:dyDescent="0.25">
      <c r="A25" s="30">
        <f t="shared" si="1"/>
        <v>8</v>
      </c>
      <c r="B25" s="31" t="str">
        <f>'402306'!E3</f>
        <v>29-Okt-21</v>
      </c>
      <c r="C25" s="83">
        <f>'402306'!A3</f>
        <v>402306</v>
      </c>
      <c r="D25" s="32" t="s">
        <v>57</v>
      </c>
      <c r="E25" s="32" t="str">
        <f>'402240'!D10</f>
        <v>DMP TNJ (T.PINANG)</v>
      </c>
      <c r="F25" s="33">
        <v>93</v>
      </c>
      <c r="G25" s="106">
        <f>'402306'!N96</f>
        <v>3177.6197499999994</v>
      </c>
      <c r="H25" s="124">
        <v>7000</v>
      </c>
      <c r="I25" s="125"/>
      <c r="J25" s="34">
        <f t="shared" si="2"/>
        <v>22243338.249999996</v>
      </c>
      <c r="L25"/>
    </row>
    <row r="26" spans="1:12" ht="66" customHeight="1" x14ac:dyDescent="0.25">
      <c r="A26" s="30">
        <f t="shared" si="1"/>
        <v>9</v>
      </c>
      <c r="B26" s="31">
        <f>'402311'!E3</f>
        <v>44499</v>
      </c>
      <c r="C26" s="83">
        <f>'402311'!A3</f>
        <v>402311</v>
      </c>
      <c r="D26" s="32" t="s">
        <v>57</v>
      </c>
      <c r="E26" s="32" t="str">
        <f>'402240'!D11</f>
        <v>DMP TNJ (T.PINANG)</v>
      </c>
      <c r="F26" s="33">
        <v>12</v>
      </c>
      <c r="G26" s="106">
        <f>'402311'!N15</f>
        <v>412.3</v>
      </c>
      <c r="H26" s="124">
        <v>7000</v>
      </c>
      <c r="I26" s="125"/>
      <c r="J26" s="139">
        <f t="shared" si="2"/>
        <v>2886100</v>
      </c>
      <c r="L26"/>
    </row>
    <row r="27" spans="1:12" ht="66" customHeight="1" x14ac:dyDescent="0.25">
      <c r="A27" s="30">
        <f t="shared" si="1"/>
        <v>10</v>
      </c>
      <c r="B27" s="31">
        <f>'402316'!E3</f>
        <v>44500</v>
      </c>
      <c r="C27" s="83">
        <f>'402316'!A3</f>
        <v>402316</v>
      </c>
      <c r="D27" s="32" t="s">
        <v>57</v>
      </c>
      <c r="E27" s="32" t="str">
        <f>'402240'!D12</f>
        <v>DMP TNJ (T.PINANG)</v>
      </c>
      <c r="F27" s="33">
        <v>10</v>
      </c>
      <c r="G27" s="106">
        <f>'402316'!N13</f>
        <v>168.49</v>
      </c>
      <c r="H27" s="124">
        <v>7000</v>
      </c>
      <c r="I27" s="125"/>
      <c r="J27" s="34">
        <f t="shared" si="2"/>
        <v>1179430</v>
      </c>
      <c r="L27"/>
    </row>
    <row r="28" spans="1:12" ht="32.25" customHeight="1" thickBot="1" x14ac:dyDescent="0.3">
      <c r="A28" s="126" t="s">
        <v>30</v>
      </c>
      <c r="B28" s="127"/>
      <c r="C28" s="127"/>
      <c r="D28" s="127"/>
      <c r="E28" s="127"/>
      <c r="F28" s="127"/>
      <c r="G28" s="127"/>
      <c r="H28" s="127"/>
      <c r="I28" s="128"/>
      <c r="J28" s="35">
        <f>SUM(J18:J27)</f>
        <v>49981860.25</v>
      </c>
      <c r="L28" s="81"/>
    </row>
    <row r="29" spans="1:12" x14ac:dyDescent="0.25">
      <c r="A29" s="129"/>
      <c r="B29" s="129"/>
      <c r="C29" s="36"/>
      <c r="D29" s="36"/>
      <c r="E29" s="36"/>
      <c r="F29" s="36"/>
      <c r="G29" s="111"/>
      <c r="H29" s="37"/>
      <c r="I29" s="37"/>
      <c r="J29" s="38"/>
    </row>
    <row r="30" spans="1:12" x14ac:dyDescent="0.25">
      <c r="A30" s="84"/>
      <c r="B30" s="84"/>
      <c r="C30" s="84"/>
      <c r="D30" s="84"/>
      <c r="E30" s="84"/>
      <c r="F30" s="84"/>
      <c r="G30" s="112" t="s">
        <v>51</v>
      </c>
      <c r="H30" s="39"/>
      <c r="I30" s="37"/>
      <c r="J30" s="38">
        <f>J28*10%</f>
        <v>4998186.0250000004</v>
      </c>
      <c r="L30" s="40"/>
    </row>
    <row r="31" spans="1:12" x14ac:dyDescent="0.25">
      <c r="A31" s="84"/>
      <c r="B31" s="84"/>
      <c r="C31" s="84"/>
      <c r="D31" s="84"/>
      <c r="E31" s="84"/>
      <c r="F31" s="84"/>
      <c r="G31" s="113" t="s">
        <v>52</v>
      </c>
      <c r="H31" s="91"/>
      <c r="I31" s="92"/>
      <c r="J31" s="94">
        <f>J28-J30</f>
        <v>44983674.225000001</v>
      </c>
      <c r="L31" s="40"/>
    </row>
    <row r="32" spans="1:12" x14ac:dyDescent="0.25">
      <c r="A32" s="84"/>
      <c r="B32" s="84"/>
      <c r="C32" s="84"/>
      <c r="D32" s="84"/>
      <c r="E32" s="84"/>
      <c r="F32" s="84"/>
      <c r="G32" s="112" t="s">
        <v>31</v>
      </c>
      <c r="H32" s="39"/>
      <c r="I32" s="40" t="e">
        <f>#REF!*1%</f>
        <v>#REF!</v>
      </c>
      <c r="J32" s="38">
        <f>J31*1%</f>
        <v>449836.74225000001</v>
      </c>
    </row>
    <row r="33" spans="1:10" ht="16.5" thickBot="1" x14ac:dyDescent="0.3">
      <c r="A33" s="84"/>
      <c r="B33" s="84"/>
      <c r="C33" s="84"/>
      <c r="D33" s="84"/>
      <c r="E33" s="84"/>
      <c r="F33" s="84"/>
      <c r="G33" s="114" t="s">
        <v>54</v>
      </c>
      <c r="H33" s="93"/>
      <c r="I33" s="41">
        <f>I29*10%</f>
        <v>0</v>
      </c>
      <c r="J33" s="41">
        <f>J31*2%</f>
        <v>899673.48450000002</v>
      </c>
    </row>
    <row r="34" spans="1:10" x14ac:dyDescent="0.25">
      <c r="E34" s="17"/>
      <c r="F34" s="17"/>
      <c r="G34" s="115" t="s">
        <v>55</v>
      </c>
      <c r="H34" s="42"/>
      <c r="I34" s="43" t="e">
        <f>I28+I32</f>
        <v>#REF!</v>
      </c>
      <c r="J34" s="43">
        <f>J31+J32-J33</f>
        <v>44533837.482750006</v>
      </c>
    </row>
    <row r="35" spans="1:10" x14ac:dyDescent="0.25">
      <c r="E35" s="17"/>
      <c r="F35" s="17"/>
      <c r="G35" s="115"/>
      <c r="H35" s="42"/>
      <c r="I35" s="43"/>
      <c r="J35" s="43"/>
    </row>
    <row r="36" spans="1:10" x14ac:dyDescent="0.25">
      <c r="A36" s="17" t="s">
        <v>320</v>
      </c>
      <c r="D36" s="17"/>
      <c r="E36" s="17"/>
      <c r="F36" s="17"/>
      <c r="G36" s="116"/>
      <c r="H36" s="42"/>
      <c r="I36" s="42"/>
      <c r="J36" s="43"/>
    </row>
    <row r="37" spans="1:10" x14ac:dyDescent="0.25">
      <c r="A37" s="44"/>
      <c r="D37" s="17"/>
      <c r="E37" s="17"/>
      <c r="F37" s="17"/>
      <c r="G37" s="116"/>
      <c r="H37" s="42"/>
      <c r="I37" s="42"/>
      <c r="J37" s="43"/>
    </row>
    <row r="38" spans="1:10" x14ac:dyDescent="0.25">
      <c r="D38" s="17"/>
      <c r="E38" s="17"/>
      <c r="F38" s="17"/>
      <c r="G38" s="116"/>
      <c r="H38" s="42"/>
      <c r="I38" s="42"/>
      <c r="J38" s="43"/>
    </row>
    <row r="39" spans="1:10" x14ac:dyDescent="0.25">
      <c r="A39" s="45" t="s">
        <v>33</v>
      </c>
    </row>
    <row r="40" spans="1:10" x14ac:dyDescent="0.25">
      <c r="A40" s="46" t="s">
        <v>34</v>
      </c>
      <c r="B40" s="47"/>
      <c r="C40" s="47"/>
      <c r="D40" s="48"/>
      <c r="E40" s="48"/>
      <c r="F40" s="48"/>
      <c r="G40" s="117"/>
    </row>
    <row r="41" spans="1:10" x14ac:dyDescent="0.25">
      <c r="A41" s="46" t="s">
        <v>35</v>
      </c>
      <c r="B41" s="47"/>
      <c r="C41" s="47"/>
      <c r="D41" s="48"/>
      <c r="E41" s="48"/>
      <c r="F41" s="48"/>
      <c r="G41" s="117"/>
    </row>
    <row r="42" spans="1:10" x14ac:dyDescent="0.25">
      <c r="A42" s="49" t="s">
        <v>36</v>
      </c>
      <c r="B42" s="50"/>
      <c r="C42" s="50"/>
      <c r="D42" s="48"/>
      <c r="E42" s="48"/>
      <c r="F42" s="48"/>
      <c r="G42" s="117"/>
    </row>
    <row r="43" spans="1:10" x14ac:dyDescent="0.25">
      <c r="A43" s="51" t="s">
        <v>8</v>
      </c>
      <c r="B43" s="52"/>
      <c r="C43" s="52"/>
      <c r="D43" s="48"/>
      <c r="E43" s="48"/>
      <c r="F43" s="48"/>
      <c r="G43" s="117"/>
    </row>
    <row r="44" spans="1:10" x14ac:dyDescent="0.25">
      <c r="A44" s="53"/>
      <c r="B44" s="53"/>
      <c r="C44" s="53"/>
    </row>
    <row r="45" spans="1:10" x14ac:dyDescent="0.25">
      <c r="H45" s="54" t="s">
        <v>37</v>
      </c>
      <c r="I45" s="130" t="str">
        <f>+J13</f>
        <v xml:space="preserve"> 16 Desember 2021</v>
      </c>
      <c r="J45" s="131"/>
    </row>
    <row r="49" spans="8:10" ht="18" customHeight="1" x14ac:dyDescent="0.25"/>
    <row r="50" spans="8:10" ht="17.25" customHeight="1" x14ac:dyDescent="0.25"/>
    <row r="52" spans="8:10" x14ac:dyDescent="0.25">
      <c r="H52" s="132" t="s">
        <v>38</v>
      </c>
      <c r="I52" s="132"/>
      <c r="J52" s="132"/>
    </row>
  </sheetData>
  <mergeCells count="19">
    <mergeCell ref="I45:J45"/>
    <mergeCell ref="H52:J52"/>
    <mergeCell ref="G14:H14"/>
    <mergeCell ref="G13:H13"/>
    <mergeCell ref="G12:H12"/>
    <mergeCell ref="A10:J10"/>
    <mergeCell ref="H17:I17"/>
    <mergeCell ref="H18:I18"/>
    <mergeCell ref="A28:I28"/>
    <mergeCell ref="A29:B29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5"/>
  <sheetViews>
    <sheetView workbookViewId="0">
      <selection activeCell="R4" sqref="R4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15" style="3" customWidth="1"/>
    <col min="5" max="5" width="9.5703125" style="12" customWidth="1"/>
    <col min="6" max="6" width="13" style="3" customWidth="1"/>
    <col min="7" max="7" width="9.5703125" style="3" customWidth="1"/>
    <col min="8" max="8" width="15.5703125" style="6" customWidth="1"/>
    <col min="9" max="11" width="4.42578125" style="3" customWidth="1"/>
    <col min="12" max="12" width="5" style="3" customWidth="1"/>
    <col min="13" max="13" width="8.5703125" style="3" customWidth="1"/>
    <col min="14" max="14" width="11.85546875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7" customHeight="1" x14ac:dyDescent="0.2">
      <c r="A3" s="82">
        <v>402311</v>
      </c>
      <c r="B3" s="74" t="s">
        <v>293</v>
      </c>
      <c r="C3" s="9" t="s">
        <v>294</v>
      </c>
      <c r="D3" s="76" t="s">
        <v>99</v>
      </c>
      <c r="E3" s="13">
        <v>44499</v>
      </c>
      <c r="F3" s="76" t="s">
        <v>100</v>
      </c>
      <c r="G3" s="13">
        <v>44499.916666666664</v>
      </c>
      <c r="H3" s="10" t="s">
        <v>292</v>
      </c>
      <c r="I3" s="1">
        <v>41</v>
      </c>
      <c r="J3" s="1">
        <v>25</v>
      </c>
      <c r="K3" s="1">
        <v>12</v>
      </c>
      <c r="L3" s="1">
        <v>1</v>
      </c>
      <c r="M3" s="79">
        <v>3.0750000000000002</v>
      </c>
      <c r="N3" s="104">
        <v>3.0750000000000002</v>
      </c>
      <c r="O3" s="64">
        <v>7000</v>
      </c>
      <c r="P3" s="65">
        <f>Table2245789101123511[[#This Row],[PEMBULATAN]]*O3</f>
        <v>21525</v>
      </c>
    </row>
    <row r="4" spans="1:16" ht="27" customHeight="1" x14ac:dyDescent="0.2">
      <c r="A4" s="14"/>
      <c r="B4" s="75"/>
      <c r="C4" s="96" t="s">
        <v>295</v>
      </c>
      <c r="D4" s="97" t="s">
        <v>99</v>
      </c>
      <c r="E4" s="101">
        <v>44499</v>
      </c>
      <c r="F4" s="102" t="s">
        <v>100</v>
      </c>
      <c r="G4" s="101">
        <v>44499.916666666664</v>
      </c>
      <c r="H4" s="98" t="s">
        <v>292</v>
      </c>
      <c r="I4" s="99">
        <v>41</v>
      </c>
      <c r="J4" s="99">
        <v>25</v>
      </c>
      <c r="K4" s="99">
        <v>12</v>
      </c>
      <c r="L4" s="99">
        <v>1</v>
      </c>
      <c r="M4" s="100">
        <v>3.0750000000000002</v>
      </c>
      <c r="N4" s="105">
        <v>3.0750000000000002</v>
      </c>
      <c r="O4" s="64">
        <v>7000</v>
      </c>
      <c r="P4" s="65">
        <f>Table2245789101123511[[#This Row],[PEMBULATAN]]*O4</f>
        <v>21525</v>
      </c>
    </row>
    <row r="5" spans="1:16" ht="27" customHeight="1" x14ac:dyDescent="0.2">
      <c r="A5" s="14"/>
      <c r="B5" s="75"/>
      <c r="C5" s="96" t="s">
        <v>296</v>
      </c>
      <c r="D5" s="97" t="s">
        <v>99</v>
      </c>
      <c r="E5" s="101">
        <v>44499</v>
      </c>
      <c r="F5" s="102" t="s">
        <v>100</v>
      </c>
      <c r="G5" s="101">
        <v>44499.916666666664</v>
      </c>
      <c r="H5" s="98" t="s">
        <v>292</v>
      </c>
      <c r="I5" s="99">
        <v>41</v>
      </c>
      <c r="J5" s="99">
        <v>25</v>
      </c>
      <c r="K5" s="99">
        <v>12</v>
      </c>
      <c r="L5" s="99">
        <v>1</v>
      </c>
      <c r="M5" s="100">
        <v>3.0750000000000002</v>
      </c>
      <c r="N5" s="105">
        <v>3.0750000000000002</v>
      </c>
      <c r="O5" s="64">
        <v>7000</v>
      </c>
      <c r="P5" s="65">
        <f>Table2245789101123511[[#This Row],[PEMBULATAN]]*O5</f>
        <v>21525</v>
      </c>
    </row>
    <row r="6" spans="1:16" ht="27" customHeight="1" x14ac:dyDescent="0.2">
      <c r="A6" s="14"/>
      <c r="B6" s="75"/>
      <c r="C6" s="96" t="s">
        <v>297</v>
      </c>
      <c r="D6" s="97" t="s">
        <v>99</v>
      </c>
      <c r="E6" s="101">
        <v>44499</v>
      </c>
      <c r="F6" s="102" t="s">
        <v>100</v>
      </c>
      <c r="G6" s="101">
        <v>44499.916666666664</v>
      </c>
      <c r="H6" s="98" t="s">
        <v>292</v>
      </c>
      <c r="I6" s="99">
        <v>41</v>
      </c>
      <c r="J6" s="99">
        <v>25</v>
      </c>
      <c r="K6" s="99">
        <v>12</v>
      </c>
      <c r="L6" s="99">
        <v>1</v>
      </c>
      <c r="M6" s="100">
        <v>3.0750000000000002</v>
      </c>
      <c r="N6" s="105">
        <v>3.0750000000000002</v>
      </c>
      <c r="O6" s="64">
        <v>7000</v>
      </c>
      <c r="P6" s="65">
        <f>Table2245789101123511[[#This Row],[PEMBULATAN]]*O6</f>
        <v>21525</v>
      </c>
    </row>
    <row r="7" spans="1:16" ht="27" customHeight="1" x14ac:dyDescent="0.2">
      <c r="A7" s="14"/>
      <c r="B7" s="75"/>
      <c r="C7" s="96" t="s">
        <v>298</v>
      </c>
      <c r="D7" s="97" t="s">
        <v>99</v>
      </c>
      <c r="E7" s="101">
        <v>44499</v>
      </c>
      <c r="F7" s="102" t="s">
        <v>100</v>
      </c>
      <c r="G7" s="101">
        <v>44499.916666666664</v>
      </c>
      <c r="H7" s="98" t="s">
        <v>292</v>
      </c>
      <c r="I7" s="99">
        <v>62</v>
      </c>
      <c r="J7" s="99">
        <v>42</v>
      </c>
      <c r="K7" s="99">
        <v>76</v>
      </c>
      <c r="L7" s="99">
        <v>31</v>
      </c>
      <c r="M7" s="100">
        <v>49.475999999999999</v>
      </c>
      <c r="N7" s="103">
        <v>50</v>
      </c>
      <c r="O7" s="64">
        <v>7000</v>
      </c>
      <c r="P7" s="65">
        <f>Table2245789101123511[[#This Row],[PEMBULATAN]]*O7</f>
        <v>350000</v>
      </c>
    </row>
    <row r="8" spans="1:16" ht="27" customHeight="1" x14ac:dyDescent="0.2">
      <c r="A8" s="14"/>
      <c r="B8" s="75"/>
      <c r="C8" s="96" t="s">
        <v>299</v>
      </c>
      <c r="D8" s="97" t="s">
        <v>99</v>
      </c>
      <c r="E8" s="101">
        <v>44499</v>
      </c>
      <c r="F8" s="102" t="s">
        <v>100</v>
      </c>
      <c r="G8" s="101">
        <v>44499.916666666664</v>
      </c>
      <c r="H8" s="98" t="s">
        <v>292</v>
      </c>
      <c r="I8" s="99">
        <v>62</v>
      </c>
      <c r="J8" s="99">
        <v>42</v>
      </c>
      <c r="K8" s="99">
        <v>76</v>
      </c>
      <c r="L8" s="99">
        <v>31</v>
      </c>
      <c r="M8" s="100">
        <v>49.475999999999999</v>
      </c>
      <c r="N8" s="103">
        <v>50</v>
      </c>
      <c r="O8" s="64">
        <v>7000</v>
      </c>
      <c r="P8" s="65">
        <f>Table2245789101123511[[#This Row],[PEMBULATAN]]*O8</f>
        <v>350000</v>
      </c>
    </row>
    <row r="9" spans="1:16" ht="27" customHeight="1" x14ac:dyDescent="0.2">
      <c r="A9" s="14"/>
      <c r="B9" s="75"/>
      <c r="C9" s="96" t="s">
        <v>300</v>
      </c>
      <c r="D9" s="97" t="s">
        <v>99</v>
      </c>
      <c r="E9" s="101">
        <v>44499</v>
      </c>
      <c r="F9" s="102" t="s">
        <v>100</v>
      </c>
      <c r="G9" s="101">
        <v>44499.916666666664</v>
      </c>
      <c r="H9" s="98" t="s">
        <v>292</v>
      </c>
      <c r="I9" s="99">
        <v>62</v>
      </c>
      <c r="J9" s="99">
        <v>42</v>
      </c>
      <c r="K9" s="99">
        <v>76</v>
      </c>
      <c r="L9" s="99">
        <v>31</v>
      </c>
      <c r="M9" s="100">
        <v>49.475999999999999</v>
      </c>
      <c r="N9" s="103">
        <v>50</v>
      </c>
      <c r="O9" s="64">
        <v>7000</v>
      </c>
      <c r="P9" s="65">
        <f>Table2245789101123511[[#This Row],[PEMBULATAN]]*O9</f>
        <v>350000</v>
      </c>
    </row>
    <row r="10" spans="1:16" ht="27" customHeight="1" x14ac:dyDescent="0.2">
      <c r="A10" s="14"/>
      <c r="B10" s="75"/>
      <c r="C10" s="96" t="s">
        <v>301</v>
      </c>
      <c r="D10" s="97" t="s">
        <v>99</v>
      </c>
      <c r="E10" s="101">
        <v>44499</v>
      </c>
      <c r="F10" s="102" t="s">
        <v>100</v>
      </c>
      <c r="G10" s="101">
        <v>44499.916666666664</v>
      </c>
      <c r="H10" s="98" t="s">
        <v>292</v>
      </c>
      <c r="I10" s="99">
        <v>62</v>
      </c>
      <c r="J10" s="99">
        <v>42</v>
      </c>
      <c r="K10" s="99">
        <v>76</v>
      </c>
      <c r="L10" s="99">
        <v>31</v>
      </c>
      <c r="M10" s="100">
        <v>49.475999999999999</v>
      </c>
      <c r="N10" s="103">
        <v>50</v>
      </c>
      <c r="O10" s="64">
        <v>7000</v>
      </c>
      <c r="P10" s="65">
        <f>Table2245789101123511[[#This Row],[PEMBULATAN]]*O10</f>
        <v>350000</v>
      </c>
    </row>
    <row r="11" spans="1:16" ht="27" customHeight="1" x14ac:dyDescent="0.2">
      <c r="A11" s="14"/>
      <c r="B11" s="75"/>
      <c r="C11" s="96" t="s">
        <v>302</v>
      </c>
      <c r="D11" s="97" t="s">
        <v>99</v>
      </c>
      <c r="E11" s="101">
        <v>44499</v>
      </c>
      <c r="F11" s="102" t="s">
        <v>100</v>
      </c>
      <c r="G11" s="101">
        <v>44499.916666666664</v>
      </c>
      <c r="H11" s="98" t="s">
        <v>292</v>
      </c>
      <c r="I11" s="99">
        <v>62</v>
      </c>
      <c r="J11" s="99">
        <v>42</v>
      </c>
      <c r="K11" s="99">
        <v>76</v>
      </c>
      <c r="L11" s="99">
        <v>31</v>
      </c>
      <c r="M11" s="100">
        <v>49.475999999999999</v>
      </c>
      <c r="N11" s="103">
        <v>50</v>
      </c>
      <c r="O11" s="64">
        <v>7000</v>
      </c>
      <c r="P11" s="65">
        <f>Table2245789101123511[[#This Row],[PEMBULATAN]]*O11</f>
        <v>350000</v>
      </c>
    </row>
    <row r="12" spans="1:16" ht="27" customHeight="1" x14ac:dyDescent="0.2">
      <c r="A12" s="14"/>
      <c r="B12" s="75"/>
      <c r="C12" s="96" t="s">
        <v>303</v>
      </c>
      <c r="D12" s="97" t="s">
        <v>99</v>
      </c>
      <c r="E12" s="101">
        <v>44499</v>
      </c>
      <c r="F12" s="102" t="s">
        <v>100</v>
      </c>
      <c r="G12" s="101">
        <v>44499.916666666664</v>
      </c>
      <c r="H12" s="98" t="s">
        <v>292</v>
      </c>
      <c r="I12" s="99">
        <v>62</v>
      </c>
      <c r="J12" s="99">
        <v>42</v>
      </c>
      <c r="K12" s="99">
        <v>76</v>
      </c>
      <c r="L12" s="99">
        <v>31</v>
      </c>
      <c r="M12" s="100">
        <v>49.475999999999999</v>
      </c>
      <c r="N12" s="103">
        <v>50</v>
      </c>
      <c r="O12" s="64">
        <v>7000</v>
      </c>
      <c r="P12" s="65">
        <f>Table2245789101123511[[#This Row],[PEMBULATAN]]*O12</f>
        <v>350000</v>
      </c>
    </row>
    <row r="13" spans="1:16" ht="27" customHeight="1" x14ac:dyDescent="0.2">
      <c r="A13" s="14"/>
      <c r="B13" s="75"/>
      <c r="C13" s="96" t="s">
        <v>304</v>
      </c>
      <c r="D13" s="97" t="s">
        <v>99</v>
      </c>
      <c r="E13" s="101">
        <v>44499</v>
      </c>
      <c r="F13" s="102" t="s">
        <v>100</v>
      </c>
      <c r="G13" s="101">
        <v>44499.916666666664</v>
      </c>
      <c r="H13" s="98" t="s">
        <v>292</v>
      </c>
      <c r="I13" s="99">
        <v>62</v>
      </c>
      <c r="J13" s="99">
        <v>42</v>
      </c>
      <c r="K13" s="99">
        <v>76</v>
      </c>
      <c r="L13" s="99">
        <v>31</v>
      </c>
      <c r="M13" s="100">
        <v>49.475999999999999</v>
      </c>
      <c r="N13" s="103">
        <v>50</v>
      </c>
      <c r="O13" s="64">
        <v>7000</v>
      </c>
      <c r="P13" s="65">
        <f>Table2245789101123511[[#This Row],[PEMBULATAN]]*O13</f>
        <v>350000</v>
      </c>
    </row>
    <row r="14" spans="1:16" ht="27" customHeight="1" x14ac:dyDescent="0.2">
      <c r="A14" s="14"/>
      <c r="B14" s="75"/>
      <c r="C14" s="96" t="s">
        <v>305</v>
      </c>
      <c r="D14" s="97" t="s">
        <v>99</v>
      </c>
      <c r="E14" s="101">
        <v>44499</v>
      </c>
      <c r="F14" s="102" t="s">
        <v>100</v>
      </c>
      <c r="G14" s="101">
        <v>44499.916666666664</v>
      </c>
      <c r="H14" s="98" t="s">
        <v>292</v>
      </c>
      <c r="I14" s="99">
        <v>62</v>
      </c>
      <c r="J14" s="99">
        <v>42</v>
      </c>
      <c r="K14" s="99">
        <v>76</v>
      </c>
      <c r="L14" s="99">
        <v>31</v>
      </c>
      <c r="M14" s="100">
        <v>49.475999999999999</v>
      </c>
      <c r="N14" s="103">
        <v>50</v>
      </c>
      <c r="O14" s="64">
        <v>7000</v>
      </c>
      <c r="P14" s="65">
        <f>Table2245789101123511[[#This Row],[PEMBULATAN]]*O14</f>
        <v>350000</v>
      </c>
    </row>
    <row r="15" spans="1:16" ht="22.5" customHeight="1" x14ac:dyDescent="0.2">
      <c r="A15" s="134" t="s">
        <v>30</v>
      </c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6"/>
      <c r="M15" s="78">
        <f>SUBTOTAL(109,Table2245789101123511[KG VOLUME])</f>
        <v>408.108</v>
      </c>
      <c r="N15" s="68">
        <f>SUM(N3:N14)</f>
        <v>412.3</v>
      </c>
      <c r="O15" s="137">
        <f>SUM(P3:P14)</f>
        <v>2886100</v>
      </c>
      <c r="P15" s="138"/>
    </row>
    <row r="16" spans="1:16" ht="18" customHeight="1" x14ac:dyDescent="0.2">
      <c r="A16" s="85"/>
      <c r="B16" s="56" t="s">
        <v>42</v>
      </c>
      <c r="C16" s="55"/>
      <c r="D16" s="57" t="s">
        <v>43</v>
      </c>
      <c r="E16" s="85"/>
      <c r="F16" s="85"/>
      <c r="G16" s="85"/>
      <c r="H16" s="85"/>
      <c r="I16" s="85"/>
      <c r="J16" s="85"/>
      <c r="K16" s="85"/>
      <c r="L16" s="85"/>
      <c r="M16" s="86"/>
      <c r="N16" s="87" t="s">
        <v>51</v>
      </c>
      <c r="O16" s="88"/>
      <c r="P16" s="88">
        <f>O15*10%</f>
        <v>288610</v>
      </c>
    </row>
    <row r="17" spans="1:16" ht="18" customHeight="1" thickBot="1" x14ac:dyDescent="0.25">
      <c r="A17" s="85"/>
      <c r="B17" s="56"/>
      <c r="C17" s="55"/>
      <c r="D17" s="57"/>
      <c r="E17" s="85"/>
      <c r="F17" s="85"/>
      <c r="G17" s="85"/>
      <c r="H17" s="85"/>
      <c r="I17" s="85"/>
      <c r="J17" s="85"/>
      <c r="K17" s="85"/>
      <c r="L17" s="85"/>
      <c r="M17" s="86"/>
      <c r="N17" s="89" t="s">
        <v>52</v>
      </c>
      <c r="O17" s="90"/>
      <c r="P17" s="90">
        <f>O15-P16</f>
        <v>2597490</v>
      </c>
    </row>
    <row r="18" spans="1:16" ht="18" customHeight="1" x14ac:dyDescent="0.2">
      <c r="A18" s="11"/>
      <c r="H18" s="63"/>
      <c r="N18" s="62" t="s">
        <v>31</v>
      </c>
      <c r="P18" s="69">
        <f>P17*1%</f>
        <v>25974.9</v>
      </c>
    </row>
    <row r="19" spans="1:16" ht="18" customHeight="1" thickBot="1" x14ac:dyDescent="0.25">
      <c r="A19" s="11"/>
      <c r="H19" s="63"/>
      <c r="N19" s="62" t="s">
        <v>53</v>
      </c>
      <c r="P19" s="71">
        <f>P17*2%</f>
        <v>51949.8</v>
      </c>
    </row>
    <row r="20" spans="1:16" ht="18" customHeight="1" x14ac:dyDescent="0.2">
      <c r="A20" s="11"/>
      <c r="H20" s="63"/>
      <c r="N20" s="66" t="s">
        <v>32</v>
      </c>
      <c r="O20" s="67"/>
      <c r="P20" s="70">
        <f>P17+P18-P19</f>
        <v>2571515.1</v>
      </c>
    </row>
    <row r="22" spans="1:16" x14ac:dyDescent="0.2">
      <c r="A22" s="11"/>
      <c r="H22" s="63"/>
      <c r="P22" s="71"/>
    </row>
    <row r="23" spans="1:16" x14ac:dyDescent="0.2">
      <c r="A23" s="11"/>
      <c r="H23" s="63"/>
      <c r="O23" s="58"/>
      <c r="P23" s="71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</sheetData>
  <mergeCells count="2">
    <mergeCell ref="A15:L15"/>
    <mergeCell ref="O15:P15"/>
  </mergeCells>
  <conditionalFormatting sqref="B3:B14">
    <cfRule type="duplicateValues" dxfId="31" priority="3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3"/>
  <sheetViews>
    <sheetView workbookViewId="0">
      <selection activeCell="D9" sqref="D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3.140625" style="3" customWidth="1"/>
    <col min="5" max="5" width="8" style="12" customWidth="1"/>
    <col min="6" max="6" width="11.85546875" style="3" customWidth="1"/>
    <col min="7" max="7" width="9.5703125" style="3" customWidth="1"/>
    <col min="8" max="8" width="15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7.75" customHeight="1" x14ac:dyDescent="0.2">
      <c r="A3" s="82">
        <v>402316</v>
      </c>
      <c r="B3" s="74" t="s">
        <v>306</v>
      </c>
      <c r="C3" s="9" t="s">
        <v>307</v>
      </c>
      <c r="D3" s="76" t="s">
        <v>99</v>
      </c>
      <c r="E3" s="13">
        <v>44500</v>
      </c>
      <c r="F3" s="76" t="s">
        <v>135</v>
      </c>
      <c r="G3" s="13">
        <v>44503</v>
      </c>
      <c r="H3" s="10" t="s">
        <v>317</v>
      </c>
      <c r="I3" s="1">
        <v>150</v>
      </c>
      <c r="J3" s="1">
        <v>66</v>
      </c>
      <c r="K3" s="1">
        <v>10</v>
      </c>
      <c r="L3" s="1">
        <v>11</v>
      </c>
      <c r="M3" s="79">
        <v>24.75</v>
      </c>
      <c r="N3" s="104">
        <v>24.75</v>
      </c>
      <c r="O3" s="64">
        <v>7000</v>
      </c>
      <c r="P3" s="65">
        <f>Table2245789101123512[[#This Row],[PEMBULATAN]]*O3</f>
        <v>173250</v>
      </c>
    </row>
    <row r="4" spans="1:16" ht="27.75" customHeight="1" x14ac:dyDescent="0.2">
      <c r="A4" s="14"/>
      <c r="B4" s="75"/>
      <c r="C4" s="96" t="s">
        <v>308</v>
      </c>
      <c r="D4" s="97" t="s">
        <v>99</v>
      </c>
      <c r="E4" s="101">
        <v>44500</v>
      </c>
      <c r="F4" s="102" t="s">
        <v>135</v>
      </c>
      <c r="G4" s="101">
        <v>44503</v>
      </c>
      <c r="H4" s="98" t="s">
        <v>317</v>
      </c>
      <c r="I4" s="99">
        <v>150</v>
      </c>
      <c r="J4" s="99">
        <v>66</v>
      </c>
      <c r="K4" s="99">
        <v>10</v>
      </c>
      <c r="L4" s="99">
        <v>11</v>
      </c>
      <c r="M4" s="100">
        <v>24.75</v>
      </c>
      <c r="N4" s="105">
        <v>24.75</v>
      </c>
      <c r="O4" s="64">
        <v>7000</v>
      </c>
      <c r="P4" s="65">
        <f>Table2245789101123512[[#This Row],[PEMBULATAN]]*O4</f>
        <v>173250</v>
      </c>
    </row>
    <row r="5" spans="1:16" ht="27.75" customHeight="1" x14ac:dyDescent="0.2">
      <c r="A5" s="14"/>
      <c r="B5" s="75"/>
      <c r="C5" s="96" t="s">
        <v>309</v>
      </c>
      <c r="D5" s="97" t="s">
        <v>99</v>
      </c>
      <c r="E5" s="101">
        <v>44500</v>
      </c>
      <c r="F5" s="102" t="s">
        <v>135</v>
      </c>
      <c r="G5" s="101">
        <v>44503</v>
      </c>
      <c r="H5" s="98" t="s">
        <v>317</v>
      </c>
      <c r="I5" s="99">
        <v>150</v>
      </c>
      <c r="J5" s="99">
        <v>66</v>
      </c>
      <c r="K5" s="99">
        <v>10</v>
      </c>
      <c r="L5" s="99">
        <v>11</v>
      </c>
      <c r="M5" s="100">
        <v>24.75</v>
      </c>
      <c r="N5" s="105">
        <v>24.75</v>
      </c>
      <c r="O5" s="64">
        <v>7000</v>
      </c>
      <c r="P5" s="65">
        <f>Table2245789101123512[[#This Row],[PEMBULATAN]]*O5</f>
        <v>173250</v>
      </c>
    </row>
    <row r="6" spans="1:16" ht="27.75" customHeight="1" x14ac:dyDescent="0.2">
      <c r="A6" s="14"/>
      <c r="B6" s="75"/>
      <c r="C6" s="96" t="s">
        <v>310</v>
      </c>
      <c r="D6" s="97" t="s">
        <v>99</v>
      </c>
      <c r="E6" s="101">
        <v>44500</v>
      </c>
      <c r="F6" s="102" t="s">
        <v>135</v>
      </c>
      <c r="G6" s="101">
        <v>44503</v>
      </c>
      <c r="H6" s="98" t="s">
        <v>317</v>
      </c>
      <c r="I6" s="99">
        <v>46</v>
      </c>
      <c r="J6" s="99">
        <v>45</v>
      </c>
      <c r="K6" s="99">
        <v>46</v>
      </c>
      <c r="L6" s="99">
        <v>7</v>
      </c>
      <c r="M6" s="100">
        <v>23.805</v>
      </c>
      <c r="N6" s="105">
        <v>23.805</v>
      </c>
      <c r="O6" s="64">
        <v>7000</v>
      </c>
      <c r="P6" s="65">
        <f>Table2245789101123512[[#This Row],[PEMBULATAN]]*O6</f>
        <v>166635</v>
      </c>
    </row>
    <row r="7" spans="1:16" ht="27.75" customHeight="1" x14ac:dyDescent="0.2">
      <c r="A7" s="14"/>
      <c r="B7" s="75"/>
      <c r="C7" s="96" t="s">
        <v>311</v>
      </c>
      <c r="D7" s="97" t="s">
        <v>99</v>
      </c>
      <c r="E7" s="101">
        <v>44500</v>
      </c>
      <c r="F7" s="102" t="s">
        <v>135</v>
      </c>
      <c r="G7" s="101">
        <v>44503</v>
      </c>
      <c r="H7" s="98" t="s">
        <v>317</v>
      </c>
      <c r="I7" s="99">
        <v>46</v>
      </c>
      <c r="J7" s="99">
        <v>45</v>
      </c>
      <c r="K7" s="99">
        <v>46</v>
      </c>
      <c r="L7" s="99">
        <v>7</v>
      </c>
      <c r="M7" s="100">
        <v>23.805</v>
      </c>
      <c r="N7" s="105">
        <v>23.805</v>
      </c>
      <c r="O7" s="64">
        <v>7000</v>
      </c>
      <c r="P7" s="65">
        <f>Table2245789101123512[[#This Row],[PEMBULATAN]]*O7</f>
        <v>166635</v>
      </c>
    </row>
    <row r="8" spans="1:16" ht="27.75" customHeight="1" x14ac:dyDescent="0.2">
      <c r="A8" s="14"/>
      <c r="B8" s="75"/>
      <c r="C8" s="96" t="s">
        <v>312</v>
      </c>
      <c r="D8" s="97" t="s">
        <v>99</v>
      </c>
      <c r="E8" s="101">
        <v>44500</v>
      </c>
      <c r="F8" s="102" t="s">
        <v>135</v>
      </c>
      <c r="G8" s="101">
        <v>44503</v>
      </c>
      <c r="H8" s="98" t="s">
        <v>317</v>
      </c>
      <c r="I8" s="99">
        <v>34</v>
      </c>
      <c r="J8" s="99">
        <v>50</v>
      </c>
      <c r="K8" s="99">
        <v>33</v>
      </c>
      <c r="L8" s="99">
        <v>7</v>
      </c>
      <c r="M8" s="100">
        <v>14.025</v>
      </c>
      <c r="N8" s="105">
        <v>14.025</v>
      </c>
      <c r="O8" s="64">
        <v>7000</v>
      </c>
      <c r="P8" s="65">
        <f>Table2245789101123512[[#This Row],[PEMBULATAN]]*O8</f>
        <v>98175</v>
      </c>
    </row>
    <row r="9" spans="1:16" ht="27.75" customHeight="1" x14ac:dyDescent="0.2">
      <c r="A9" s="14"/>
      <c r="B9" s="75"/>
      <c r="C9" s="96" t="s">
        <v>313</v>
      </c>
      <c r="D9" s="97" t="s">
        <v>99</v>
      </c>
      <c r="E9" s="101">
        <v>44500</v>
      </c>
      <c r="F9" s="102" t="s">
        <v>135</v>
      </c>
      <c r="G9" s="101">
        <v>44503</v>
      </c>
      <c r="H9" s="98" t="s">
        <v>317</v>
      </c>
      <c r="I9" s="99">
        <v>31</v>
      </c>
      <c r="J9" s="99">
        <v>24</v>
      </c>
      <c r="K9" s="99">
        <v>20</v>
      </c>
      <c r="L9" s="99">
        <v>3</v>
      </c>
      <c r="M9" s="100">
        <v>3.72</v>
      </c>
      <c r="N9" s="105">
        <v>3.72</v>
      </c>
      <c r="O9" s="64">
        <v>7000</v>
      </c>
      <c r="P9" s="65">
        <f>Table2245789101123512[[#This Row],[PEMBULATAN]]*O9</f>
        <v>26040</v>
      </c>
    </row>
    <row r="10" spans="1:16" ht="27.75" customHeight="1" x14ac:dyDescent="0.2">
      <c r="A10" s="14"/>
      <c r="B10" s="75"/>
      <c r="C10" s="96" t="s">
        <v>314</v>
      </c>
      <c r="D10" s="97" t="s">
        <v>99</v>
      </c>
      <c r="E10" s="101">
        <v>44500</v>
      </c>
      <c r="F10" s="102" t="s">
        <v>135</v>
      </c>
      <c r="G10" s="101">
        <v>44503</v>
      </c>
      <c r="H10" s="98" t="s">
        <v>317</v>
      </c>
      <c r="I10" s="99">
        <v>31</v>
      </c>
      <c r="J10" s="99">
        <v>24</v>
      </c>
      <c r="K10" s="99">
        <v>20</v>
      </c>
      <c r="L10" s="99">
        <v>3</v>
      </c>
      <c r="M10" s="100">
        <v>3.72</v>
      </c>
      <c r="N10" s="105">
        <v>3.72</v>
      </c>
      <c r="O10" s="64">
        <v>7000</v>
      </c>
      <c r="P10" s="65">
        <f>Table2245789101123512[[#This Row],[PEMBULATAN]]*O10</f>
        <v>26040</v>
      </c>
    </row>
    <row r="11" spans="1:16" ht="27.75" customHeight="1" x14ac:dyDescent="0.2">
      <c r="A11" s="14"/>
      <c r="B11" s="75"/>
      <c r="C11" s="96" t="s">
        <v>315</v>
      </c>
      <c r="D11" s="97" t="s">
        <v>99</v>
      </c>
      <c r="E11" s="101">
        <v>44500</v>
      </c>
      <c r="F11" s="102" t="s">
        <v>135</v>
      </c>
      <c r="G11" s="101">
        <v>44503</v>
      </c>
      <c r="H11" s="98" t="s">
        <v>317</v>
      </c>
      <c r="I11" s="99">
        <v>49</v>
      </c>
      <c r="J11" s="99">
        <v>30</v>
      </c>
      <c r="K11" s="99">
        <v>25</v>
      </c>
      <c r="L11" s="99">
        <v>3</v>
      </c>
      <c r="M11" s="100">
        <v>9.1875</v>
      </c>
      <c r="N11" s="105">
        <v>9.1875</v>
      </c>
      <c r="O11" s="64">
        <v>7000</v>
      </c>
      <c r="P11" s="65">
        <f>Table2245789101123512[[#This Row],[PEMBULATAN]]*O11</f>
        <v>64312.5</v>
      </c>
    </row>
    <row r="12" spans="1:16" ht="27.75" customHeight="1" x14ac:dyDescent="0.2">
      <c r="A12" s="14"/>
      <c r="B12" s="75"/>
      <c r="C12" s="96" t="s">
        <v>316</v>
      </c>
      <c r="D12" s="97" t="s">
        <v>99</v>
      </c>
      <c r="E12" s="101">
        <v>44500</v>
      </c>
      <c r="F12" s="102" t="s">
        <v>135</v>
      </c>
      <c r="G12" s="101">
        <v>44503</v>
      </c>
      <c r="H12" s="98" t="s">
        <v>317</v>
      </c>
      <c r="I12" s="99">
        <v>83</v>
      </c>
      <c r="J12" s="99">
        <v>77</v>
      </c>
      <c r="K12" s="99">
        <v>10</v>
      </c>
      <c r="L12" s="99">
        <v>7</v>
      </c>
      <c r="M12" s="100">
        <v>15.977499999999999</v>
      </c>
      <c r="N12" s="105">
        <v>15.977499999999999</v>
      </c>
      <c r="O12" s="64">
        <v>7000</v>
      </c>
      <c r="P12" s="65">
        <f>Table2245789101123512[[#This Row],[PEMBULATAN]]*O12</f>
        <v>111842.5</v>
      </c>
    </row>
    <row r="13" spans="1:16" ht="22.5" customHeight="1" x14ac:dyDescent="0.2">
      <c r="A13" s="134" t="s">
        <v>30</v>
      </c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6"/>
      <c r="M13" s="78">
        <f>SUBTOTAL(109,Table2245789101123512[KG VOLUME])</f>
        <v>168.49</v>
      </c>
      <c r="N13" s="68">
        <f>SUM(N3:N12)</f>
        <v>168.49</v>
      </c>
      <c r="O13" s="137">
        <f>SUM(P3:P12)</f>
        <v>1179430</v>
      </c>
      <c r="P13" s="138"/>
    </row>
    <row r="14" spans="1:16" ht="18" customHeight="1" x14ac:dyDescent="0.2">
      <c r="A14" s="85"/>
      <c r="B14" s="56" t="s">
        <v>42</v>
      </c>
      <c r="C14" s="55"/>
      <c r="D14" s="57" t="s">
        <v>43</v>
      </c>
      <c r="E14" s="85"/>
      <c r="F14" s="85"/>
      <c r="G14" s="85"/>
      <c r="H14" s="85"/>
      <c r="I14" s="85"/>
      <c r="J14" s="85"/>
      <c r="K14" s="85"/>
      <c r="L14" s="85"/>
      <c r="M14" s="86"/>
      <c r="N14" s="87" t="s">
        <v>51</v>
      </c>
      <c r="O14" s="88"/>
      <c r="P14" s="88">
        <f>O13*10%</f>
        <v>117943</v>
      </c>
    </row>
    <row r="15" spans="1:16" ht="18" customHeight="1" thickBot="1" x14ac:dyDescent="0.25">
      <c r="A15" s="85"/>
      <c r="B15" s="56"/>
      <c r="C15" s="55"/>
      <c r="D15" s="57"/>
      <c r="E15" s="85"/>
      <c r="F15" s="85"/>
      <c r="G15" s="85"/>
      <c r="H15" s="85"/>
      <c r="I15" s="85"/>
      <c r="J15" s="85"/>
      <c r="K15" s="85"/>
      <c r="L15" s="85"/>
      <c r="M15" s="86"/>
      <c r="N15" s="89" t="s">
        <v>52</v>
      </c>
      <c r="O15" s="90"/>
      <c r="P15" s="90">
        <f>O13-P14</f>
        <v>1061487</v>
      </c>
    </row>
    <row r="16" spans="1:16" ht="18" customHeight="1" x14ac:dyDescent="0.2">
      <c r="A16" s="11"/>
      <c r="H16" s="63"/>
      <c r="N16" s="62" t="s">
        <v>31</v>
      </c>
      <c r="P16" s="69">
        <f>P15*1%</f>
        <v>10614.87</v>
      </c>
    </row>
    <row r="17" spans="1:16" ht="18" customHeight="1" thickBot="1" x14ac:dyDescent="0.25">
      <c r="A17" s="11"/>
      <c r="H17" s="63"/>
      <c r="N17" s="62" t="s">
        <v>53</v>
      </c>
      <c r="P17" s="71">
        <f>P15*2%</f>
        <v>21229.74</v>
      </c>
    </row>
    <row r="18" spans="1:16" ht="18" customHeight="1" x14ac:dyDescent="0.2">
      <c r="A18" s="11"/>
      <c r="H18" s="63"/>
      <c r="N18" s="66" t="s">
        <v>32</v>
      </c>
      <c r="O18" s="67"/>
      <c r="P18" s="70">
        <f>P15+P16-P17</f>
        <v>1050872.1300000001</v>
      </c>
    </row>
    <row r="20" spans="1:16" x14ac:dyDescent="0.2">
      <c r="A20" s="11"/>
      <c r="H20" s="63"/>
      <c r="P20" s="71"/>
    </row>
    <row r="21" spans="1:16" x14ac:dyDescent="0.2">
      <c r="A21" s="11"/>
      <c r="H21" s="63"/>
      <c r="O21" s="58"/>
      <c r="P21" s="71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</sheetData>
  <mergeCells count="2">
    <mergeCell ref="A13:L13"/>
    <mergeCell ref="O13:P13"/>
  </mergeCells>
  <conditionalFormatting sqref="B3:B12">
    <cfRule type="duplicateValues" dxfId="15" priority="3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2"/>
  <sheetViews>
    <sheetView zoomScale="110" zoomScaleNormal="110" workbookViewId="0">
      <pane xSplit="3" ySplit="2" topLeftCell="D39" activePane="bottomRight" state="frozen"/>
      <selection pane="topRight" activeCell="B1" sqref="B1"/>
      <selection pane="bottomLeft" activeCell="A3" sqref="A3"/>
      <selection pane="bottomRight" activeCell="A42" sqref="A42:L42"/>
    </sheetView>
  </sheetViews>
  <sheetFormatPr defaultRowHeight="15" x14ac:dyDescent="0.2"/>
  <cols>
    <col min="1" max="1" width="8" style="4" customWidth="1"/>
    <col min="2" max="2" width="19.5703125" style="2" customWidth="1"/>
    <col min="3" max="3" width="15" style="2" customWidth="1"/>
    <col min="4" max="4" width="12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5.140625" style="6" customWidth="1"/>
    <col min="9" max="11" width="4.42578125" style="3" customWidth="1"/>
    <col min="12" max="12" width="5" style="3" customWidth="1"/>
    <col min="13" max="13" width="8.5703125" style="3" customWidth="1"/>
    <col min="14" max="14" width="12.42578125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3.25" customHeight="1" x14ac:dyDescent="0.2">
      <c r="A3" s="82">
        <v>402240</v>
      </c>
      <c r="B3" s="118" t="s">
        <v>58</v>
      </c>
      <c r="C3" s="9" t="s">
        <v>59</v>
      </c>
      <c r="D3" s="76" t="s">
        <v>99</v>
      </c>
      <c r="E3" s="13">
        <v>44487</v>
      </c>
      <c r="F3" s="76" t="s">
        <v>100</v>
      </c>
      <c r="G3" s="13" t="s">
        <v>101</v>
      </c>
      <c r="H3" s="10" t="s">
        <v>102</v>
      </c>
      <c r="I3" s="1">
        <v>70</v>
      </c>
      <c r="J3" s="1">
        <v>54</v>
      </c>
      <c r="K3" s="1">
        <v>56</v>
      </c>
      <c r="L3" s="1">
        <v>17</v>
      </c>
      <c r="M3" s="79">
        <v>52.92</v>
      </c>
      <c r="N3" s="104">
        <v>52.92</v>
      </c>
      <c r="O3" s="64">
        <v>7000</v>
      </c>
      <c r="P3" s="65">
        <f>Table224578910112[[#This Row],[PEMBULATAN]]*O3</f>
        <v>370440</v>
      </c>
    </row>
    <row r="4" spans="1:16" ht="23.25" customHeight="1" x14ac:dyDescent="0.2">
      <c r="A4" s="14"/>
      <c r="B4" s="75" t="s">
        <v>60</v>
      </c>
      <c r="C4" s="96" t="s">
        <v>61</v>
      </c>
      <c r="D4" s="97" t="s">
        <v>99</v>
      </c>
      <c r="E4" s="101">
        <v>44487</v>
      </c>
      <c r="F4" s="102" t="s">
        <v>100</v>
      </c>
      <c r="G4" s="101" t="s">
        <v>101</v>
      </c>
      <c r="H4" s="98" t="s">
        <v>102</v>
      </c>
      <c r="I4" s="99">
        <v>170</v>
      </c>
      <c r="J4" s="99">
        <v>70</v>
      </c>
      <c r="K4" s="99">
        <v>120</v>
      </c>
      <c r="L4" s="99">
        <v>14</v>
      </c>
      <c r="M4" s="100">
        <v>357</v>
      </c>
      <c r="N4" s="105">
        <v>357</v>
      </c>
      <c r="O4" s="64">
        <v>7000</v>
      </c>
      <c r="P4" s="65">
        <f>Table224578910112[[#This Row],[PEMBULATAN]]*O4</f>
        <v>2499000</v>
      </c>
    </row>
    <row r="5" spans="1:16" ht="23.25" customHeight="1" x14ac:dyDescent="0.2">
      <c r="A5" s="14"/>
      <c r="B5" s="75"/>
      <c r="C5" s="96" t="s">
        <v>62</v>
      </c>
      <c r="D5" s="97" t="s">
        <v>99</v>
      </c>
      <c r="E5" s="101">
        <v>44487</v>
      </c>
      <c r="F5" s="102" t="s">
        <v>100</v>
      </c>
      <c r="G5" s="101" t="s">
        <v>101</v>
      </c>
      <c r="H5" s="98" t="s">
        <v>102</v>
      </c>
      <c r="I5" s="99">
        <v>113</v>
      </c>
      <c r="J5" s="99">
        <v>16</v>
      </c>
      <c r="K5" s="99">
        <v>111</v>
      </c>
      <c r="L5" s="99">
        <v>4</v>
      </c>
      <c r="M5" s="100">
        <v>50.171999999999997</v>
      </c>
      <c r="N5" s="105">
        <v>50.171999999999997</v>
      </c>
      <c r="O5" s="64">
        <v>7000</v>
      </c>
      <c r="P5" s="65">
        <f>Table224578910112[[#This Row],[PEMBULATAN]]*O5</f>
        <v>351204</v>
      </c>
    </row>
    <row r="6" spans="1:16" ht="23.25" customHeight="1" x14ac:dyDescent="0.2">
      <c r="A6" s="14"/>
      <c r="B6" s="75"/>
      <c r="C6" s="96" t="s">
        <v>63</v>
      </c>
      <c r="D6" s="97" t="s">
        <v>99</v>
      </c>
      <c r="E6" s="101">
        <v>44487</v>
      </c>
      <c r="F6" s="102" t="s">
        <v>100</v>
      </c>
      <c r="G6" s="101" t="s">
        <v>101</v>
      </c>
      <c r="H6" s="98" t="s">
        <v>102</v>
      </c>
      <c r="I6" s="99">
        <v>113</v>
      </c>
      <c r="J6" s="99">
        <v>16</v>
      </c>
      <c r="K6" s="99">
        <v>111</v>
      </c>
      <c r="L6" s="99">
        <v>4</v>
      </c>
      <c r="M6" s="100">
        <v>50.171999999999997</v>
      </c>
      <c r="N6" s="105">
        <v>50.171999999999997</v>
      </c>
      <c r="O6" s="64">
        <v>7000</v>
      </c>
      <c r="P6" s="65">
        <f>Table224578910112[[#This Row],[PEMBULATAN]]*O6</f>
        <v>351204</v>
      </c>
    </row>
    <row r="7" spans="1:16" ht="23.25" customHeight="1" x14ac:dyDescent="0.2">
      <c r="A7" s="14"/>
      <c r="B7" s="75"/>
      <c r="C7" s="96" t="s">
        <v>64</v>
      </c>
      <c r="D7" s="97" t="s">
        <v>99</v>
      </c>
      <c r="E7" s="101">
        <v>44487</v>
      </c>
      <c r="F7" s="102" t="s">
        <v>100</v>
      </c>
      <c r="G7" s="101" t="s">
        <v>101</v>
      </c>
      <c r="H7" s="98" t="s">
        <v>102</v>
      </c>
      <c r="I7" s="99">
        <v>113</v>
      </c>
      <c r="J7" s="99">
        <v>16</v>
      </c>
      <c r="K7" s="99">
        <v>111</v>
      </c>
      <c r="L7" s="99">
        <v>4</v>
      </c>
      <c r="M7" s="100">
        <v>50.171999999999997</v>
      </c>
      <c r="N7" s="105">
        <v>50.171999999999997</v>
      </c>
      <c r="O7" s="64">
        <v>7000</v>
      </c>
      <c r="P7" s="65">
        <f>Table224578910112[[#This Row],[PEMBULATAN]]*O7</f>
        <v>351204</v>
      </c>
    </row>
    <row r="8" spans="1:16" ht="23.25" customHeight="1" x14ac:dyDescent="0.2">
      <c r="A8" s="14"/>
      <c r="B8" s="75"/>
      <c r="C8" s="96" t="s">
        <v>65</v>
      </c>
      <c r="D8" s="97" t="s">
        <v>99</v>
      </c>
      <c r="E8" s="101">
        <v>44487</v>
      </c>
      <c r="F8" s="102" t="s">
        <v>100</v>
      </c>
      <c r="G8" s="101" t="s">
        <v>101</v>
      </c>
      <c r="H8" s="98" t="s">
        <v>102</v>
      </c>
      <c r="I8" s="99">
        <v>113</v>
      </c>
      <c r="J8" s="99">
        <v>16</v>
      </c>
      <c r="K8" s="99">
        <v>111</v>
      </c>
      <c r="L8" s="99">
        <v>4</v>
      </c>
      <c r="M8" s="100">
        <v>50.171999999999997</v>
      </c>
      <c r="N8" s="105">
        <v>50.171999999999997</v>
      </c>
      <c r="O8" s="64">
        <v>7000</v>
      </c>
      <c r="P8" s="65">
        <f>Table224578910112[[#This Row],[PEMBULATAN]]*O8</f>
        <v>351204</v>
      </c>
    </row>
    <row r="9" spans="1:16" ht="23.25" customHeight="1" x14ac:dyDescent="0.2">
      <c r="A9" s="14"/>
      <c r="B9" s="75"/>
      <c r="C9" s="96" t="s">
        <v>66</v>
      </c>
      <c r="D9" s="97" t="s">
        <v>99</v>
      </c>
      <c r="E9" s="101">
        <v>44487</v>
      </c>
      <c r="F9" s="102" t="s">
        <v>100</v>
      </c>
      <c r="G9" s="101" t="s">
        <v>101</v>
      </c>
      <c r="H9" s="98" t="s">
        <v>102</v>
      </c>
      <c r="I9" s="99">
        <v>113</v>
      </c>
      <c r="J9" s="99">
        <v>16</v>
      </c>
      <c r="K9" s="99">
        <v>111</v>
      </c>
      <c r="L9" s="99">
        <v>4</v>
      </c>
      <c r="M9" s="100">
        <v>50.171999999999997</v>
      </c>
      <c r="N9" s="105">
        <v>50.171999999999997</v>
      </c>
      <c r="O9" s="64">
        <v>7000</v>
      </c>
      <c r="P9" s="65">
        <f>Table224578910112[[#This Row],[PEMBULATAN]]*O9</f>
        <v>351204</v>
      </c>
    </row>
    <row r="10" spans="1:16" ht="23.25" customHeight="1" x14ac:dyDescent="0.2">
      <c r="A10" s="14"/>
      <c r="B10" s="75"/>
      <c r="C10" s="96" t="s">
        <v>67</v>
      </c>
      <c r="D10" s="97" t="s">
        <v>99</v>
      </c>
      <c r="E10" s="101">
        <v>44487</v>
      </c>
      <c r="F10" s="102" t="s">
        <v>100</v>
      </c>
      <c r="G10" s="101" t="s">
        <v>101</v>
      </c>
      <c r="H10" s="98" t="s">
        <v>102</v>
      </c>
      <c r="I10" s="99">
        <v>113</v>
      </c>
      <c r="J10" s="99">
        <v>16</v>
      </c>
      <c r="K10" s="99">
        <v>111</v>
      </c>
      <c r="L10" s="99">
        <v>4</v>
      </c>
      <c r="M10" s="100">
        <v>50.171999999999997</v>
      </c>
      <c r="N10" s="105">
        <v>50.171999999999997</v>
      </c>
      <c r="O10" s="64">
        <v>7000</v>
      </c>
      <c r="P10" s="65">
        <f>Table224578910112[[#This Row],[PEMBULATAN]]*O10</f>
        <v>351204</v>
      </c>
    </row>
    <row r="11" spans="1:16" ht="23.25" customHeight="1" x14ac:dyDescent="0.2">
      <c r="A11" s="14"/>
      <c r="B11" s="75"/>
      <c r="C11" s="96" t="s">
        <v>68</v>
      </c>
      <c r="D11" s="97" t="s">
        <v>99</v>
      </c>
      <c r="E11" s="101">
        <v>44487</v>
      </c>
      <c r="F11" s="102" t="s">
        <v>100</v>
      </c>
      <c r="G11" s="101" t="s">
        <v>101</v>
      </c>
      <c r="H11" s="98" t="s">
        <v>102</v>
      </c>
      <c r="I11" s="99">
        <v>113</v>
      </c>
      <c r="J11" s="99">
        <v>16</v>
      </c>
      <c r="K11" s="99">
        <v>111</v>
      </c>
      <c r="L11" s="99">
        <v>4</v>
      </c>
      <c r="M11" s="100">
        <v>50.171999999999997</v>
      </c>
      <c r="N11" s="105">
        <v>50.171999999999997</v>
      </c>
      <c r="O11" s="64">
        <v>7000</v>
      </c>
      <c r="P11" s="65">
        <f>Table224578910112[[#This Row],[PEMBULATAN]]*O11</f>
        <v>351204</v>
      </c>
    </row>
    <row r="12" spans="1:16" ht="23.25" customHeight="1" x14ac:dyDescent="0.2">
      <c r="A12" s="14"/>
      <c r="B12" s="75"/>
      <c r="C12" s="96" t="s">
        <v>69</v>
      </c>
      <c r="D12" s="97" t="s">
        <v>99</v>
      </c>
      <c r="E12" s="101">
        <v>44487</v>
      </c>
      <c r="F12" s="102" t="s">
        <v>100</v>
      </c>
      <c r="G12" s="101" t="s">
        <v>101</v>
      </c>
      <c r="H12" s="98" t="s">
        <v>102</v>
      </c>
      <c r="I12" s="99">
        <v>113</v>
      </c>
      <c r="J12" s="99">
        <v>16</v>
      </c>
      <c r="K12" s="99">
        <v>111</v>
      </c>
      <c r="L12" s="99">
        <v>4</v>
      </c>
      <c r="M12" s="100">
        <v>50.171999999999997</v>
      </c>
      <c r="N12" s="105">
        <v>50.171999999999997</v>
      </c>
      <c r="O12" s="64">
        <v>7000</v>
      </c>
      <c r="P12" s="65">
        <f>Table224578910112[[#This Row],[PEMBULATAN]]*O12</f>
        <v>351204</v>
      </c>
    </row>
    <row r="13" spans="1:16" ht="23.25" customHeight="1" x14ac:dyDescent="0.2">
      <c r="A13" s="14"/>
      <c r="B13" s="75"/>
      <c r="C13" s="96" t="s">
        <v>70</v>
      </c>
      <c r="D13" s="97" t="s">
        <v>99</v>
      </c>
      <c r="E13" s="101">
        <v>44487</v>
      </c>
      <c r="F13" s="102" t="s">
        <v>100</v>
      </c>
      <c r="G13" s="101" t="s">
        <v>101</v>
      </c>
      <c r="H13" s="98" t="s">
        <v>102</v>
      </c>
      <c r="I13" s="99">
        <v>113</v>
      </c>
      <c r="J13" s="99">
        <v>16</v>
      </c>
      <c r="K13" s="99">
        <v>111</v>
      </c>
      <c r="L13" s="99">
        <v>4</v>
      </c>
      <c r="M13" s="100">
        <v>50.171999999999997</v>
      </c>
      <c r="N13" s="105">
        <v>50.171999999999997</v>
      </c>
      <c r="O13" s="64">
        <v>7000</v>
      </c>
      <c r="P13" s="65">
        <f>Table224578910112[[#This Row],[PEMBULATAN]]*O13</f>
        <v>351204</v>
      </c>
    </row>
    <row r="14" spans="1:16" ht="23.25" customHeight="1" x14ac:dyDescent="0.2">
      <c r="A14" s="14"/>
      <c r="B14" s="75"/>
      <c r="C14" s="96" t="s">
        <v>71</v>
      </c>
      <c r="D14" s="97" t="s">
        <v>99</v>
      </c>
      <c r="E14" s="101">
        <v>44487</v>
      </c>
      <c r="F14" s="102" t="s">
        <v>100</v>
      </c>
      <c r="G14" s="101" t="s">
        <v>101</v>
      </c>
      <c r="H14" s="98" t="s">
        <v>102</v>
      </c>
      <c r="I14" s="99">
        <v>113</v>
      </c>
      <c r="J14" s="99">
        <v>16</v>
      </c>
      <c r="K14" s="99">
        <v>111</v>
      </c>
      <c r="L14" s="99">
        <v>4</v>
      </c>
      <c r="M14" s="100">
        <v>50.171999999999997</v>
      </c>
      <c r="N14" s="105">
        <v>50.171999999999997</v>
      </c>
      <c r="O14" s="64">
        <v>7000</v>
      </c>
      <c r="P14" s="65">
        <f>Table224578910112[[#This Row],[PEMBULATAN]]*O14</f>
        <v>351204</v>
      </c>
    </row>
    <row r="15" spans="1:16" ht="23.25" customHeight="1" x14ac:dyDescent="0.2">
      <c r="A15" s="14"/>
      <c r="B15" s="75"/>
      <c r="C15" s="96" t="s">
        <v>72</v>
      </c>
      <c r="D15" s="97" t="s">
        <v>99</v>
      </c>
      <c r="E15" s="101">
        <v>44487</v>
      </c>
      <c r="F15" s="102" t="s">
        <v>100</v>
      </c>
      <c r="G15" s="101" t="s">
        <v>101</v>
      </c>
      <c r="H15" s="98" t="s">
        <v>102</v>
      </c>
      <c r="I15" s="99">
        <v>84</v>
      </c>
      <c r="J15" s="99">
        <v>55</v>
      </c>
      <c r="K15" s="99">
        <v>20</v>
      </c>
      <c r="L15" s="99">
        <v>2</v>
      </c>
      <c r="M15" s="100">
        <v>23.1</v>
      </c>
      <c r="N15" s="105">
        <v>23.1</v>
      </c>
      <c r="O15" s="64">
        <v>7000</v>
      </c>
      <c r="P15" s="65">
        <f>Table224578910112[[#This Row],[PEMBULATAN]]*O15</f>
        <v>161700</v>
      </c>
    </row>
    <row r="16" spans="1:16" ht="23.25" customHeight="1" x14ac:dyDescent="0.2">
      <c r="A16" s="14"/>
      <c r="B16" s="75"/>
      <c r="C16" s="96" t="s">
        <v>73</v>
      </c>
      <c r="D16" s="97" t="s">
        <v>99</v>
      </c>
      <c r="E16" s="101">
        <v>44487</v>
      </c>
      <c r="F16" s="102" t="s">
        <v>100</v>
      </c>
      <c r="G16" s="101" t="s">
        <v>101</v>
      </c>
      <c r="H16" s="98" t="s">
        <v>102</v>
      </c>
      <c r="I16" s="99">
        <v>44</v>
      </c>
      <c r="J16" s="99">
        <v>34</v>
      </c>
      <c r="K16" s="99">
        <v>29</v>
      </c>
      <c r="L16" s="99">
        <v>10</v>
      </c>
      <c r="M16" s="100">
        <v>10.846</v>
      </c>
      <c r="N16" s="105">
        <v>10.846</v>
      </c>
      <c r="O16" s="64">
        <v>7000</v>
      </c>
      <c r="P16" s="65">
        <f>Table224578910112[[#This Row],[PEMBULATAN]]*O16</f>
        <v>75922</v>
      </c>
    </row>
    <row r="17" spans="1:16" ht="23.25" customHeight="1" x14ac:dyDescent="0.2">
      <c r="A17" s="14"/>
      <c r="B17" s="75"/>
      <c r="C17" s="96" t="s">
        <v>74</v>
      </c>
      <c r="D17" s="97" t="s">
        <v>99</v>
      </c>
      <c r="E17" s="101">
        <v>44487</v>
      </c>
      <c r="F17" s="102" t="s">
        <v>100</v>
      </c>
      <c r="G17" s="101" t="s">
        <v>101</v>
      </c>
      <c r="H17" s="98" t="s">
        <v>102</v>
      </c>
      <c r="I17" s="99">
        <v>33</v>
      </c>
      <c r="J17" s="99">
        <v>23</v>
      </c>
      <c r="K17" s="99">
        <v>17</v>
      </c>
      <c r="L17" s="99">
        <v>7</v>
      </c>
      <c r="M17" s="100">
        <v>3.2257500000000001</v>
      </c>
      <c r="N17" s="105">
        <v>7</v>
      </c>
      <c r="O17" s="64">
        <v>7000</v>
      </c>
      <c r="P17" s="65">
        <f>Table224578910112[[#This Row],[PEMBULATAN]]*O17</f>
        <v>49000</v>
      </c>
    </row>
    <row r="18" spans="1:16" ht="23.25" customHeight="1" x14ac:dyDescent="0.2">
      <c r="A18" s="14"/>
      <c r="B18" s="75"/>
      <c r="C18" s="96" t="s">
        <v>75</v>
      </c>
      <c r="D18" s="97" t="s">
        <v>99</v>
      </c>
      <c r="E18" s="101">
        <v>44487</v>
      </c>
      <c r="F18" s="102" t="s">
        <v>100</v>
      </c>
      <c r="G18" s="101" t="s">
        <v>101</v>
      </c>
      <c r="H18" s="98" t="s">
        <v>102</v>
      </c>
      <c r="I18" s="99">
        <v>33</v>
      </c>
      <c r="J18" s="99">
        <v>23</v>
      </c>
      <c r="K18" s="99">
        <v>17</v>
      </c>
      <c r="L18" s="99">
        <v>7</v>
      </c>
      <c r="M18" s="100">
        <v>3.2257500000000001</v>
      </c>
      <c r="N18" s="105">
        <v>7</v>
      </c>
      <c r="O18" s="64">
        <v>7000</v>
      </c>
      <c r="P18" s="65">
        <f>Table224578910112[[#This Row],[PEMBULATAN]]*O18</f>
        <v>49000</v>
      </c>
    </row>
    <row r="19" spans="1:16" ht="23.25" customHeight="1" x14ac:dyDescent="0.2">
      <c r="A19" s="14"/>
      <c r="B19" s="75"/>
      <c r="C19" s="96" t="s">
        <v>76</v>
      </c>
      <c r="D19" s="97" t="s">
        <v>99</v>
      </c>
      <c r="E19" s="101">
        <v>44487</v>
      </c>
      <c r="F19" s="102" t="s">
        <v>100</v>
      </c>
      <c r="G19" s="101" t="s">
        <v>101</v>
      </c>
      <c r="H19" s="98" t="s">
        <v>102</v>
      </c>
      <c r="I19" s="99">
        <v>33</v>
      </c>
      <c r="J19" s="99">
        <v>23</v>
      </c>
      <c r="K19" s="99">
        <v>17</v>
      </c>
      <c r="L19" s="99">
        <v>7</v>
      </c>
      <c r="M19" s="100">
        <v>3.2257500000000001</v>
      </c>
      <c r="N19" s="105">
        <v>7</v>
      </c>
      <c r="O19" s="64">
        <v>7000</v>
      </c>
      <c r="P19" s="65">
        <f>Table224578910112[[#This Row],[PEMBULATAN]]*O19</f>
        <v>49000</v>
      </c>
    </row>
    <row r="20" spans="1:16" ht="23.25" customHeight="1" x14ac:dyDescent="0.2">
      <c r="A20" s="14"/>
      <c r="B20" s="75"/>
      <c r="C20" s="96" t="s">
        <v>77</v>
      </c>
      <c r="D20" s="97" t="s">
        <v>99</v>
      </c>
      <c r="E20" s="101">
        <v>44487</v>
      </c>
      <c r="F20" s="102" t="s">
        <v>100</v>
      </c>
      <c r="G20" s="101" t="s">
        <v>101</v>
      </c>
      <c r="H20" s="98" t="s">
        <v>102</v>
      </c>
      <c r="I20" s="99">
        <v>33</v>
      </c>
      <c r="J20" s="99">
        <v>23</v>
      </c>
      <c r="K20" s="99">
        <v>17</v>
      </c>
      <c r="L20" s="99">
        <v>7</v>
      </c>
      <c r="M20" s="100">
        <v>3.2257500000000001</v>
      </c>
      <c r="N20" s="105">
        <v>7</v>
      </c>
      <c r="O20" s="64">
        <v>7000</v>
      </c>
      <c r="P20" s="65">
        <f>Table224578910112[[#This Row],[PEMBULATAN]]*O20</f>
        <v>49000</v>
      </c>
    </row>
    <row r="21" spans="1:16" ht="23.25" customHeight="1" x14ac:dyDescent="0.2">
      <c r="A21" s="14"/>
      <c r="B21" s="75"/>
      <c r="C21" s="96" t="s">
        <v>78</v>
      </c>
      <c r="D21" s="97" t="s">
        <v>99</v>
      </c>
      <c r="E21" s="101">
        <v>44487</v>
      </c>
      <c r="F21" s="102" t="s">
        <v>100</v>
      </c>
      <c r="G21" s="101" t="s">
        <v>101</v>
      </c>
      <c r="H21" s="98" t="s">
        <v>102</v>
      </c>
      <c r="I21" s="99">
        <v>33</v>
      </c>
      <c r="J21" s="99">
        <v>23</v>
      </c>
      <c r="K21" s="99">
        <v>17</v>
      </c>
      <c r="L21" s="99">
        <v>7</v>
      </c>
      <c r="M21" s="100">
        <v>3.2257500000000001</v>
      </c>
      <c r="N21" s="105">
        <v>7</v>
      </c>
      <c r="O21" s="64">
        <v>7000</v>
      </c>
      <c r="P21" s="65">
        <f>Table224578910112[[#This Row],[PEMBULATAN]]*O21</f>
        <v>49000</v>
      </c>
    </row>
    <row r="22" spans="1:16" ht="23.25" customHeight="1" x14ac:dyDescent="0.2">
      <c r="A22" s="14"/>
      <c r="B22" s="75"/>
      <c r="C22" s="96" t="s">
        <v>79</v>
      </c>
      <c r="D22" s="97" t="s">
        <v>99</v>
      </c>
      <c r="E22" s="101">
        <v>44487</v>
      </c>
      <c r="F22" s="102" t="s">
        <v>100</v>
      </c>
      <c r="G22" s="101" t="s">
        <v>101</v>
      </c>
      <c r="H22" s="98" t="s">
        <v>102</v>
      </c>
      <c r="I22" s="99">
        <v>33</v>
      </c>
      <c r="J22" s="99">
        <v>23</v>
      </c>
      <c r="K22" s="99">
        <v>17</v>
      </c>
      <c r="L22" s="99">
        <v>7</v>
      </c>
      <c r="M22" s="100">
        <v>3.2257500000000001</v>
      </c>
      <c r="N22" s="105">
        <v>7</v>
      </c>
      <c r="O22" s="64">
        <v>7000</v>
      </c>
      <c r="P22" s="65">
        <f>Table224578910112[[#This Row],[PEMBULATAN]]*O22</f>
        <v>49000</v>
      </c>
    </row>
    <row r="23" spans="1:16" ht="23.25" customHeight="1" x14ac:dyDescent="0.2">
      <c r="A23" s="14"/>
      <c r="B23" s="75"/>
      <c r="C23" s="96" t="s">
        <v>80</v>
      </c>
      <c r="D23" s="97" t="s">
        <v>99</v>
      </c>
      <c r="E23" s="101">
        <v>44487</v>
      </c>
      <c r="F23" s="102" t="s">
        <v>100</v>
      </c>
      <c r="G23" s="101" t="s">
        <v>101</v>
      </c>
      <c r="H23" s="98" t="s">
        <v>102</v>
      </c>
      <c r="I23" s="99">
        <v>33</v>
      </c>
      <c r="J23" s="99">
        <v>23</v>
      </c>
      <c r="K23" s="99">
        <v>17</v>
      </c>
      <c r="L23" s="99">
        <v>7</v>
      </c>
      <c r="M23" s="100">
        <v>3.2257500000000001</v>
      </c>
      <c r="N23" s="105">
        <v>7</v>
      </c>
      <c r="O23" s="64">
        <v>7000</v>
      </c>
      <c r="P23" s="65">
        <f>Table224578910112[[#This Row],[PEMBULATAN]]*O23</f>
        <v>49000</v>
      </c>
    </row>
    <row r="24" spans="1:16" ht="23.25" customHeight="1" x14ac:dyDescent="0.2">
      <c r="A24" s="14"/>
      <c r="B24" s="75"/>
      <c r="C24" s="96" t="s">
        <v>81</v>
      </c>
      <c r="D24" s="97" t="s">
        <v>99</v>
      </c>
      <c r="E24" s="101">
        <v>44487</v>
      </c>
      <c r="F24" s="102" t="s">
        <v>100</v>
      </c>
      <c r="G24" s="101" t="s">
        <v>101</v>
      </c>
      <c r="H24" s="98" t="s">
        <v>102</v>
      </c>
      <c r="I24" s="99">
        <v>37</v>
      </c>
      <c r="J24" s="99">
        <v>36</v>
      </c>
      <c r="K24" s="99">
        <v>18</v>
      </c>
      <c r="L24" s="99">
        <v>12</v>
      </c>
      <c r="M24" s="100">
        <v>5.9939999999999998</v>
      </c>
      <c r="N24" s="105">
        <v>12</v>
      </c>
      <c r="O24" s="64">
        <v>7000</v>
      </c>
      <c r="P24" s="65">
        <f>Table224578910112[[#This Row],[PEMBULATAN]]*O24</f>
        <v>84000</v>
      </c>
    </row>
    <row r="25" spans="1:16" ht="23.25" customHeight="1" x14ac:dyDescent="0.2">
      <c r="A25" s="14"/>
      <c r="B25" s="75"/>
      <c r="C25" s="96" t="s">
        <v>82</v>
      </c>
      <c r="D25" s="97" t="s">
        <v>99</v>
      </c>
      <c r="E25" s="101">
        <v>44487</v>
      </c>
      <c r="F25" s="102" t="s">
        <v>100</v>
      </c>
      <c r="G25" s="101" t="s">
        <v>101</v>
      </c>
      <c r="H25" s="98" t="s">
        <v>102</v>
      </c>
      <c r="I25" s="99">
        <v>37</v>
      </c>
      <c r="J25" s="99">
        <v>36</v>
      </c>
      <c r="K25" s="99">
        <v>18</v>
      </c>
      <c r="L25" s="99">
        <v>12</v>
      </c>
      <c r="M25" s="100">
        <v>5.9939999999999998</v>
      </c>
      <c r="N25" s="105">
        <v>12</v>
      </c>
      <c r="O25" s="64">
        <v>7000</v>
      </c>
      <c r="P25" s="65">
        <f>Table224578910112[[#This Row],[PEMBULATAN]]*O25</f>
        <v>84000</v>
      </c>
    </row>
    <row r="26" spans="1:16" ht="23.25" customHeight="1" x14ac:dyDescent="0.2">
      <c r="A26" s="14"/>
      <c r="B26" s="75"/>
      <c r="C26" s="96" t="s">
        <v>83</v>
      </c>
      <c r="D26" s="97" t="s">
        <v>99</v>
      </c>
      <c r="E26" s="101">
        <v>44487</v>
      </c>
      <c r="F26" s="102" t="s">
        <v>100</v>
      </c>
      <c r="G26" s="101" t="s">
        <v>101</v>
      </c>
      <c r="H26" s="98" t="s">
        <v>102</v>
      </c>
      <c r="I26" s="99">
        <v>37</v>
      </c>
      <c r="J26" s="99">
        <v>36</v>
      </c>
      <c r="K26" s="99">
        <v>18</v>
      </c>
      <c r="L26" s="99">
        <v>12</v>
      </c>
      <c r="M26" s="100">
        <v>5.9939999999999998</v>
      </c>
      <c r="N26" s="105">
        <v>12</v>
      </c>
      <c r="O26" s="64">
        <v>7000</v>
      </c>
      <c r="P26" s="65">
        <f>Table224578910112[[#This Row],[PEMBULATAN]]*O26</f>
        <v>84000</v>
      </c>
    </row>
    <row r="27" spans="1:16" ht="23.25" customHeight="1" x14ac:dyDescent="0.2">
      <c r="A27" s="14"/>
      <c r="B27" s="75"/>
      <c r="C27" s="96" t="s">
        <v>84</v>
      </c>
      <c r="D27" s="97" t="s">
        <v>99</v>
      </c>
      <c r="E27" s="101">
        <v>44487</v>
      </c>
      <c r="F27" s="102" t="s">
        <v>100</v>
      </c>
      <c r="G27" s="101" t="s">
        <v>101</v>
      </c>
      <c r="H27" s="98" t="s">
        <v>102</v>
      </c>
      <c r="I27" s="99">
        <v>33</v>
      </c>
      <c r="J27" s="99">
        <v>23</v>
      </c>
      <c r="K27" s="99">
        <v>17</v>
      </c>
      <c r="L27" s="99">
        <v>7</v>
      </c>
      <c r="M27" s="100">
        <v>3.2257500000000001</v>
      </c>
      <c r="N27" s="105">
        <v>7</v>
      </c>
      <c r="O27" s="64">
        <v>7000</v>
      </c>
      <c r="P27" s="65">
        <f>Table224578910112[[#This Row],[PEMBULATAN]]*O27</f>
        <v>49000</v>
      </c>
    </row>
    <row r="28" spans="1:16" ht="23.25" customHeight="1" x14ac:dyDescent="0.2">
      <c r="A28" s="14"/>
      <c r="B28" s="75"/>
      <c r="C28" s="96" t="s">
        <v>85</v>
      </c>
      <c r="D28" s="97" t="s">
        <v>99</v>
      </c>
      <c r="E28" s="101">
        <v>44487</v>
      </c>
      <c r="F28" s="102" t="s">
        <v>100</v>
      </c>
      <c r="G28" s="101" t="s">
        <v>101</v>
      </c>
      <c r="H28" s="98" t="s">
        <v>102</v>
      </c>
      <c r="I28" s="99">
        <v>33</v>
      </c>
      <c r="J28" s="99">
        <v>23</v>
      </c>
      <c r="K28" s="99">
        <v>17</v>
      </c>
      <c r="L28" s="99">
        <v>7</v>
      </c>
      <c r="M28" s="100">
        <v>3.2257500000000001</v>
      </c>
      <c r="N28" s="105">
        <v>7</v>
      </c>
      <c r="O28" s="64">
        <v>7000</v>
      </c>
      <c r="P28" s="65">
        <f>Table224578910112[[#This Row],[PEMBULATAN]]*O28</f>
        <v>49000</v>
      </c>
    </row>
    <row r="29" spans="1:16" ht="23.25" customHeight="1" x14ac:dyDescent="0.2">
      <c r="A29" s="14"/>
      <c r="B29" s="75"/>
      <c r="C29" s="96" t="s">
        <v>86</v>
      </c>
      <c r="D29" s="97" t="s">
        <v>99</v>
      </c>
      <c r="E29" s="101">
        <v>44487</v>
      </c>
      <c r="F29" s="102" t="s">
        <v>100</v>
      </c>
      <c r="G29" s="101" t="s">
        <v>101</v>
      </c>
      <c r="H29" s="98" t="s">
        <v>102</v>
      </c>
      <c r="I29" s="99">
        <v>37</v>
      </c>
      <c r="J29" s="99">
        <v>36</v>
      </c>
      <c r="K29" s="99">
        <v>18</v>
      </c>
      <c r="L29" s="99">
        <v>12</v>
      </c>
      <c r="M29" s="100">
        <v>5.9939999999999998</v>
      </c>
      <c r="N29" s="105">
        <v>12</v>
      </c>
      <c r="O29" s="64">
        <v>7000</v>
      </c>
      <c r="P29" s="65">
        <f>Table224578910112[[#This Row],[PEMBULATAN]]*O29</f>
        <v>84000</v>
      </c>
    </row>
    <row r="30" spans="1:16" ht="23.25" customHeight="1" x14ac:dyDescent="0.2">
      <c r="A30" s="14"/>
      <c r="B30" s="75"/>
      <c r="C30" s="96" t="s">
        <v>87</v>
      </c>
      <c r="D30" s="97" t="s">
        <v>99</v>
      </c>
      <c r="E30" s="101">
        <v>44487</v>
      </c>
      <c r="F30" s="102" t="s">
        <v>100</v>
      </c>
      <c r="G30" s="101" t="s">
        <v>101</v>
      </c>
      <c r="H30" s="98" t="s">
        <v>102</v>
      </c>
      <c r="I30" s="99">
        <v>37</v>
      </c>
      <c r="J30" s="99">
        <v>36</v>
      </c>
      <c r="K30" s="99">
        <v>18</v>
      </c>
      <c r="L30" s="99">
        <v>12</v>
      </c>
      <c r="M30" s="100">
        <v>5.9939999999999998</v>
      </c>
      <c r="N30" s="105">
        <v>12</v>
      </c>
      <c r="O30" s="64">
        <v>7000</v>
      </c>
      <c r="P30" s="65">
        <f>Table224578910112[[#This Row],[PEMBULATAN]]*O30</f>
        <v>84000</v>
      </c>
    </row>
    <row r="31" spans="1:16" ht="23.25" customHeight="1" x14ac:dyDescent="0.2">
      <c r="A31" s="14"/>
      <c r="B31" s="75"/>
      <c r="C31" s="96" t="s">
        <v>88</v>
      </c>
      <c r="D31" s="97" t="s">
        <v>99</v>
      </c>
      <c r="E31" s="101">
        <v>44487</v>
      </c>
      <c r="F31" s="102" t="s">
        <v>100</v>
      </c>
      <c r="G31" s="101" t="s">
        <v>101</v>
      </c>
      <c r="H31" s="98" t="s">
        <v>102</v>
      </c>
      <c r="I31" s="99">
        <v>33</v>
      </c>
      <c r="J31" s="99">
        <v>23</v>
      </c>
      <c r="K31" s="99">
        <v>17</v>
      </c>
      <c r="L31" s="99">
        <v>7</v>
      </c>
      <c r="M31" s="100">
        <v>3.2257500000000001</v>
      </c>
      <c r="N31" s="105">
        <v>7</v>
      </c>
      <c r="O31" s="64">
        <v>7000</v>
      </c>
      <c r="P31" s="65">
        <f>Table224578910112[[#This Row],[PEMBULATAN]]*O31</f>
        <v>49000</v>
      </c>
    </row>
    <row r="32" spans="1:16" ht="23.25" customHeight="1" x14ac:dyDescent="0.2">
      <c r="A32" s="14"/>
      <c r="B32" s="75"/>
      <c r="C32" s="96" t="s">
        <v>89</v>
      </c>
      <c r="D32" s="97" t="s">
        <v>99</v>
      </c>
      <c r="E32" s="101">
        <v>44487</v>
      </c>
      <c r="F32" s="102" t="s">
        <v>100</v>
      </c>
      <c r="G32" s="101" t="s">
        <v>101</v>
      </c>
      <c r="H32" s="98" t="s">
        <v>102</v>
      </c>
      <c r="I32" s="99">
        <v>33</v>
      </c>
      <c r="J32" s="99">
        <v>23</v>
      </c>
      <c r="K32" s="99">
        <v>17</v>
      </c>
      <c r="L32" s="99">
        <v>12</v>
      </c>
      <c r="M32" s="100">
        <v>3.2257500000000001</v>
      </c>
      <c r="N32" s="105">
        <v>12</v>
      </c>
      <c r="O32" s="64">
        <v>7000</v>
      </c>
      <c r="P32" s="65">
        <f>Table224578910112[[#This Row],[PEMBULATAN]]*O32</f>
        <v>84000</v>
      </c>
    </row>
    <row r="33" spans="1:16" ht="23.25" customHeight="1" x14ac:dyDescent="0.2">
      <c r="A33" s="14"/>
      <c r="B33" s="75"/>
      <c r="C33" s="96" t="s">
        <v>90</v>
      </c>
      <c r="D33" s="97" t="s">
        <v>99</v>
      </c>
      <c r="E33" s="101">
        <v>44487</v>
      </c>
      <c r="F33" s="102" t="s">
        <v>100</v>
      </c>
      <c r="G33" s="101" t="s">
        <v>101</v>
      </c>
      <c r="H33" s="98" t="s">
        <v>102</v>
      </c>
      <c r="I33" s="99">
        <v>47</v>
      </c>
      <c r="J33" s="99">
        <v>43</v>
      </c>
      <c r="K33" s="99">
        <v>36</v>
      </c>
      <c r="L33" s="99">
        <v>14</v>
      </c>
      <c r="M33" s="100">
        <v>18.189</v>
      </c>
      <c r="N33" s="105">
        <v>18.189</v>
      </c>
      <c r="O33" s="64">
        <v>7000</v>
      </c>
      <c r="P33" s="65">
        <f>Table224578910112[[#This Row],[PEMBULATAN]]*O33</f>
        <v>127323</v>
      </c>
    </row>
    <row r="34" spans="1:16" ht="23.25" customHeight="1" x14ac:dyDescent="0.2">
      <c r="A34" s="14"/>
      <c r="B34" s="75"/>
      <c r="C34" s="96" t="s">
        <v>91</v>
      </c>
      <c r="D34" s="97" t="s">
        <v>99</v>
      </c>
      <c r="E34" s="101">
        <v>44487</v>
      </c>
      <c r="F34" s="102" t="s">
        <v>100</v>
      </c>
      <c r="G34" s="101" t="s">
        <v>101</v>
      </c>
      <c r="H34" s="98" t="s">
        <v>102</v>
      </c>
      <c r="I34" s="99">
        <v>44</v>
      </c>
      <c r="J34" s="99">
        <v>44</v>
      </c>
      <c r="K34" s="99">
        <v>76</v>
      </c>
      <c r="L34" s="99">
        <v>31</v>
      </c>
      <c r="M34" s="100">
        <v>36.783999999999999</v>
      </c>
      <c r="N34" s="105">
        <v>36.783999999999999</v>
      </c>
      <c r="O34" s="64">
        <v>7000</v>
      </c>
      <c r="P34" s="65">
        <f>Table224578910112[[#This Row],[PEMBULATAN]]*O34</f>
        <v>257488</v>
      </c>
    </row>
    <row r="35" spans="1:16" ht="23.25" customHeight="1" x14ac:dyDescent="0.2">
      <c r="A35" s="14"/>
      <c r="B35" s="75"/>
      <c r="C35" s="96" t="s">
        <v>92</v>
      </c>
      <c r="D35" s="97" t="s">
        <v>99</v>
      </c>
      <c r="E35" s="101">
        <v>44487</v>
      </c>
      <c r="F35" s="102" t="s">
        <v>100</v>
      </c>
      <c r="G35" s="101" t="s">
        <v>101</v>
      </c>
      <c r="H35" s="98" t="s">
        <v>102</v>
      </c>
      <c r="I35" s="99">
        <v>50</v>
      </c>
      <c r="J35" s="99">
        <v>53</v>
      </c>
      <c r="K35" s="99">
        <v>37</v>
      </c>
      <c r="L35" s="99">
        <v>4</v>
      </c>
      <c r="M35" s="100">
        <v>24.512499999999999</v>
      </c>
      <c r="N35" s="105">
        <v>24.512499999999999</v>
      </c>
      <c r="O35" s="64">
        <v>7000</v>
      </c>
      <c r="P35" s="65">
        <f>Table224578910112[[#This Row],[PEMBULATAN]]*O35</f>
        <v>171587.5</v>
      </c>
    </row>
    <row r="36" spans="1:16" ht="23.25" customHeight="1" x14ac:dyDescent="0.2">
      <c r="A36" s="14"/>
      <c r="B36" s="75"/>
      <c r="C36" s="96" t="s">
        <v>93</v>
      </c>
      <c r="D36" s="97" t="s">
        <v>99</v>
      </c>
      <c r="E36" s="101">
        <v>44487</v>
      </c>
      <c r="F36" s="102" t="s">
        <v>100</v>
      </c>
      <c r="G36" s="101" t="s">
        <v>101</v>
      </c>
      <c r="H36" s="98" t="s">
        <v>102</v>
      </c>
      <c r="I36" s="99">
        <v>44</v>
      </c>
      <c r="J36" s="99">
        <v>44</v>
      </c>
      <c r="K36" s="99">
        <v>76</v>
      </c>
      <c r="L36" s="99">
        <v>31</v>
      </c>
      <c r="M36" s="100">
        <v>36.783999999999999</v>
      </c>
      <c r="N36" s="105">
        <v>36.783999999999999</v>
      </c>
      <c r="O36" s="64">
        <v>7000</v>
      </c>
      <c r="P36" s="65">
        <f>Table224578910112[[#This Row],[PEMBULATAN]]*O36</f>
        <v>257488</v>
      </c>
    </row>
    <row r="37" spans="1:16" ht="23.25" customHeight="1" x14ac:dyDescent="0.2">
      <c r="A37" s="14"/>
      <c r="B37" s="75"/>
      <c r="C37" s="96" t="s">
        <v>94</v>
      </c>
      <c r="D37" s="97" t="s">
        <v>99</v>
      </c>
      <c r="E37" s="101">
        <v>44487</v>
      </c>
      <c r="F37" s="102" t="s">
        <v>100</v>
      </c>
      <c r="G37" s="101" t="s">
        <v>101</v>
      </c>
      <c r="H37" s="98" t="s">
        <v>102</v>
      </c>
      <c r="I37" s="99">
        <v>44</v>
      </c>
      <c r="J37" s="99">
        <v>44</v>
      </c>
      <c r="K37" s="99">
        <v>76</v>
      </c>
      <c r="L37" s="99">
        <v>31</v>
      </c>
      <c r="M37" s="100">
        <v>36.783999999999999</v>
      </c>
      <c r="N37" s="105">
        <v>36.783999999999999</v>
      </c>
      <c r="O37" s="64">
        <v>7000</v>
      </c>
      <c r="P37" s="65">
        <f>Table224578910112[[#This Row],[PEMBULATAN]]*O37</f>
        <v>257488</v>
      </c>
    </row>
    <row r="38" spans="1:16" ht="23.25" customHeight="1" x14ac:dyDescent="0.2">
      <c r="A38" s="14"/>
      <c r="B38" s="75"/>
      <c r="C38" s="96" t="s">
        <v>95</v>
      </c>
      <c r="D38" s="97" t="s">
        <v>99</v>
      </c>
      <c r="E38" s="101">
        <v>44487</v>
      </c>
      <c r="F38" s="102" t="s">
        <v>100</v>
      </c>
      <c r="G38" s="101" t="s">
        <v>101</v>
      </c>
      <c r="H38" s="98" t="s">
        <v>102</v>
      </c>
      <c r="I38" s="99">
        <v>20</v>
      </c>
      <c r="J38" s="99">
        <v>23</v>
      </c>
      <c r="K38" s="99">
        <v>14</v>
      </c>
      <c r="L38" s="99">
        <v>4</v>
      </c>
      <c r="M38" s="100">
        <v>1.61</v>
      </c>
      <c r="N38" s="105">
        <v>4</v>
      </c>
      <c r="O38" s="64">
        <v>7000</v>
      </c>
      <c r="P38" s="65">
        <f>Table224578910112[[#This Row],[PEMBULATAN]]*O38</f>
        <v>28000</v>
      </c>
    </row>
    <row r="39" spans="1:16" ht="23.25" customHeight="1" x14ac:dyDescent="0.2">
      <c r="A39" s="14"/>
      <c r="B39" s="75"/>
      <c r="C39" s="96" t="s">
        <v>96</v>
      </c>
      <c r="D39" s="97" t="s">
        <v>99</v>
      </c>
      <c r="E39" s="101">
        <v>44487</v>
      </c>
      <c r="F39" s="102" t="s">
        <v>100</v>
      </c>
      <c r="G39" s="101" t="s">
        <v>101</v>
      </c>
      <c r="H39" s="98" t="s">
        <v>102</v>
      </c>
      <c r="I39" s="99">
        <v>35</v>
      </c>
      <c r="J39" s="99">
        <v>23</v>
      </c>
      <c r="K39" s="99">
        <v>20</v>
      </c>
      <c r="L39" s="99">
        <v>5</v>
      </c>
      <c r="M39" s="100">
        <v>4.0250000000000004</v>
      </c>
      <c r="N39" s="105">
        <v>5</v>
      </c>
      <c r="O39" s="64">
        <v>7000</v>
      </c>
      <c r="P39" s="65">
        <f>Table224578910112[[#This Row],[PEMBULATAN]]*O39</f>
        <v>35000</v>
      </c>
    </row>
    <row r="40" spans="1:16" ht="23.25" customHeight="1" x14ac:dyDescent="0.2">
      <c r="A40" s="14"/>
      <c r="B40" s="75"/>
      <c r="C40" s="96" t="s">
        <v>97</v>
      </c>
      <c r="D40" s="97" t="s">
        <v>99</v>
      </c>
      <c r="E40" s="101">
        <v>44487</v>
      </c>
      <c r="F40" s="102" t="s">
        <v>100</v>
      </c>
      <c r="G40" s="101" t="s">
        <v>101</v>
      </c>
      <c r="H40" s="98" t="s">
        <v>102</v>
      </c>
      <c r="I40" s="99">
        <v>44</v>
      </c>
      <c r="J40" s="99">
        <v>44</v>
      </c>
      <c r="K40" s="99">
        <v>76</v>
      </c>
      <c r="L40" s="99">
        <v>31</v>
      </c>
      <c r="M40" s="100">
        <v>36.783999999999999</v>
      </c>
      <c r="N40" s="105">
        <v>36.783999999999999</v>
      </c>
      <c r="O40" s="64">
        <v>7000</v>
      </c>
      <c r="P40" s="65">
        <f>Table224578910112[[#This Row],[PEMBULATAN]]*O40</f>
        <v>257488</v>
      </c>
    </row>
    <row r="41" spans="1:16" ht="23.25" customHeight="1" x14ac:dyDescent="0.2">
      <c r="A41" s="14"/>
      <c r="B41" s="75"/>
      <c r="C41" s="96" t="s">
        <v>98</v>
      </c>
      <c r="D41" s="97" t="s">
        <v>99</v>
      </c>
      <c r="E41" s="101">
        <v>44487</v>
      </c>
      <c r="F41" s="102" t="s">
        <v>100</v>
      </c>
      <c r="G41" s="101" t="s">
        <v>101</v>
      </c>
      <c r="H41" s="98" t="s">
        <v>102</v>
      </c>
      <c r="I41" s="99">
        <v>44</v>
      </c>
      <c r="J41" s="99">
        <v>44</v>
      </c>
      <c r="K41" s="99">
        <v>76</v>
      </c>
      <c r="L41" s="99">
        <v>31</v>
      </c>
      <c r="M41" s="100">
        <v>36.783999999999999</v>
      </c>
      <c r="N41" s="105">
        <v>36.783999999999999</v>
      </c>
      <c r="O41" s="64">
        <v>7000</v>
      </c>
      <c r="P41" s="65">
        <f>Table224578910112[[#This Row],[PEMBULATAN]]*O41</f>
        <v>257488</v>
      </c>
    </row>
    <row r="42" spans="1:16" ht="22.5" customHeight="1" x14ac:dyDescent="0.2">
      <c r="A42" s="134" t="s">
        <v>30</v>
      </c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6"/>
      <c r="M42" s="78">
        <f>SUBTOTAL(109,Table224578910112[KG VOLUME])</f>
        <v>1243.2957500000005</v>
      </c>
      <c r="N42" s="68">
        <f>SUM(N3:N41)</f>
        <v>1323.2075000000009</v>
      </c>
      <c r="O42" s="137">
        <f>SUM(P3:P41)</f>
        <v>9262452.5</v>
      </c>
      <c r="P42" s="138"/>
    </row>
    <row r="43" spans="1:16" ht="18" customHeight="1" x14ac:dyDescent="0.2">
      <c r="A43" s="85"/>
      <c r="B43" s="56" t="s">
        <v>42</v>
      </c>
      <c r="C43" s="55"/>
      <c r="D43" s="57" t="s">
        <v>43</v>
      </c>
      <c r="E43" s="85"/>
      <c r="F43" s="85"/>
      <c r="G43" s="85"/>
      <c r="H43" s="85"/>
      <c r="I43" s="85"/>
      <c r="J43" s="85"/>
      <c r="K43" s="85"/>
      <c r="L43" s="85"/>
      <c r="M43" s="86"/>
      <c r="N43" s="87" t="s">
        <v>51</v>
      </c>
      <c r="O43" s="88"/>
      <c r="P43" s="88">
        <f>O42*10%</f>
        <v>926245.25</v>
      </c>
    </row>
    <row r="44" spans="1:16" ht="18" customHeight="1" thickBot="1" x14ac:dyDescent="0.25">
      <c r="A44" s="85"/>
      <c r="B44" s="56"/>
      <c r="C44" s="55"/>
      <c r="D44" s="57"/>
      <c r="E44" s="85"/>
      <c r="F44" s="85"/>
      <c r="G44" s="85"/>
      <c r="H44" s="85"/>
      <c r="I44" s="85"/>
      <c r="J44" s="85"/>
      <c r="K44" s="85"/>
      <c r="L44" s="85"/>
      <c r="M44" s="86"/>
      <c r="N44" s="89" t="s">
        <v>52</v>
      </c>
      <c r="O44" s="90"/>
      <c r="P44" s="90">
        <f>O42-P43</f>
        <v>8336207.25</v>
      </c>
    </row>
    <row r="45" spans="1:16" ht="18" customHeight="1" x14ac:dyDescent="0.2">
      <c r="A45" s="11"/>
      <c r="H45" s="63"/>
      <c r="N45" s="62" t="s">
        <v>31</v>
      </c>
      <c r="P45" s="69">
        <f>P44*1%</f>
        <v>83362.072499999995</v>
      </c>
    </row>
    <row r="46" spans="1:16" ht="18" customHeight="1" thickBot="1" x14ac:dyDescent="0.25">
      <c r="A46" s="11"/>
      <c r="H46" s="63"/>
      <c r="N46" s="62" t="s">
        <v>53</v>
      </c>
      <c r="P46" s="71">
        <f>P44*2%</f>
        <v>166724.14499999999</v>
      </c>
    </row>
    <row r="47" spans="1:16" ht="18" customHeight="1" x14ac:dyDescent="0.2">
      <c r="A47" s="11"/>
      <c r="H47" s="63"/>
      <c r="N47" s="66" t="s">
        <v>32</v>
      </c>
      <c r="O47" s="67"/>
      <c r="P47" s="70">
        <f>P44+P45-P46</f>
        <v>8252845.1775000002</v>
      </c>
    </row>
    <row r="49" spans="1:16" x14ac:dyDescent="0.2">
      <c r="A49" s="11"/>
      <c r="H49" s="63"/>
      <c r="P49" s="71"/>
    </row>
    <row r="50" spans="1:16" x14ac:dyDescent="0.2">
      <c r="A50" s="11"/>
      <c r="H50" s="63"/>
      <c r="O50" s="58"/>
      <c r="P50" s="71"/>
    </row>
    <row r="51" spans="1:16" s="3" customFormat="1" x14ac:dyDescent="0.25">
      <c r="A51" s="11"/>
      <c r="B51" s="2"/>
      <c r="C51" s="2"/>
      <c r="E51" s="12"/>
      <c r="H51" s="63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3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3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3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3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3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3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3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3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3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3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3"/>
      <c r="N62" s="15"/>
      <c r="O62" s="15"/>
      <c r="P62" s="15"/>
    </row>
  </sheetData>
  <mergeCells count="2">
    <mergeCell ref="A42:L42"/>
    <mergeCell ref="O42:P42"/>
  </mergeCells>
  <conditionalFormatting sqref="B3:B41">
    <cfRule type="duplicateValues" dxfId="161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9" sqref="G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4" style="3" customWidth="1"/>
    <col min="5" max="5" width="8" style="12" customWidth="1"/>
    <col min="6" max="6" width="11.85546875" style="3" customWidth="1"/>
    <col min="7" max="7" width="9.5703125" style="3" customWidth="1"/>
    <col min="8" max="8" width="15.855468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5.5" customHeight="1" x14ac:dyDescent="0.2">
      <c r="A3" s="82">
        <v>402245</v>
      </c>
      <c r="B3" s="74" t="s">
        <v>103</v>
      </c>
      <c r="C3" s="9" t="s">
        <v>104</v>
      </c>
      <c r="D3" s="76" t="s">
        <v>99</v>
      </c>
      <c r="E3" s="13">
        <v>44492</v>
      </c>
      <c r="F3" s="76" t="s">
        <v>100</v>
      </c>
      <c r="G3" s="13" t="s">
        <v>116</v>
      </c>
      <c r="H3" s="10" t="s">
        <v>117</v>
      </c>
      <c r="I3" s="1">
        <v>23</v>
      </c>
      <c r="J3" s="1">
        <v>21</v>
      </c>
      <c r="K3" s="1">
        <v>9</v>
      </c>
      <c r="L3" s="1">
        <v>25</v>
      </c>
      <c r="M3" s="79">
        <v>1.0867500000000001</v>
      </c>
      <c r="N3" s="8">
        <v>25</v>
      </c>
      <c r="O3" s="64">
        <v>7000</v>
      </c>
      <c r="P3" s="65">
        <f>Table2245789101123[[#This Row],[PEMBULATAN]]*O3</f>
        <v>175000</v>
      </c>
    </row>
    <row r="4" spans="1:16" ht="25.5" customHeight="1" x14ac:dyDescent="0.2">
      <c r="A4" s="14"/>
      <c r="B4" s="75"/>
      <c r="C4" s="96" t="s">
        <v>105</v>
      </c>
      <c r="D4" s="97" t="s">
        <v>99</v>
      </c>
      <c r="E4" s="101">
        <v>44492</v>
      </c>
      <c r="F4" s="102" t="s">
        <v>100</v>
      </c>
      <c r="G4" s="101" t="s">
        <v>116</v>
      </c>
      <c r="H4" s="98" t="s">
        <v>117</v>
      </c>
      <c r="I4" s="99">
        <v>35</v>
      </c>
      <c r="J4" s="99">
        <v>35</v>
      </c>
      <c r="K4" s="99">
        <v>18</v>
      </c>
      <c r="L4" s="99">
        <v>11</v>
      </c>
      <c r="M4" s="100">
        <v>5.5125000000000002</v>
      </c>
      <c r="N4" s="103">
        <v>11</v>
      </c>
      <c r="O4" s="64">
        <v>7000</v>
      </c>
      <c r="P4" s="65">
        <f>Table2245789101123[[#This Row],[PEMBULATAN]]*O4</f>
        <v>77000</v>
      </c>
    </row>
    <row r="5" spans="1:16" ht="25.5" customHeight="1" x14ac:dyDescent="0.2">
      <c r="A5" s="14"/>
      <c r="B5" s="75"/>
      <c r="C5" s="96" t="s">
        <v>106</v>
      </c>
      <c r="D5" s="97" t="s">
        <v>99</v>
      </c>
      <c r="E5" s="101">
        <v>44492</v>
      </c>
      <c r="F5" s="102" t="s">
        <v>100</v>
      </c>
      <c r="G5" s="101" t="s">
        <v>116</v>
      </c>
      <c r="H5" s="98" t="s">
        <v>117</v>
      </c>
      <c r="I5" s="99">
        <v>53</v>
      </c>
      <c r="J5" s="99">
        <v>35</v>
      </c>
      <c r="K5" s="99">
        <v>9</v>
      </c>
      <c r="L5" s="99">
        <v>10</v>
      </c>
      <c r="M5" s="100">
        <v>4.1737500000000001</v>
      </c>
      <c r="N5" s="103">
        <v>10</v>
      </c>
      <c r="O5" s="64">
        <v>7000</v>
      </c>
      <c r="P5" s="65">
        <f>Table2245789101123[[#This Row],[PEMBULATAN]]*O5</f>
        <v>70000</v>
      </c>
    </row>
    <row r="6" spans="1:16" ht="25.5" customHeight="1" x14ac:dyDescent="0.2">
      <c r="A6" s="14"/>
      <c r="B6" s="75"/>
      <c r="C6" s="96" t="s">
        <v>107</v>
      </c>
      <c r="D6" s="97" t="s">
        <v>99</v>
      </c>
      <c r="E6" s="101">
        <v>44492</v>
      </c>
      <c r="F6" s="102" t="s">
        <v>100</v>
      </c>
      <c r="G6" s="101" t="s">
        <v>116</v>
      </c>
      <c r="H6" s="98" t="s">
        <v>117</v>
      </c>
      <c r="I6" s="99">
        <v>53</v>
      </c>
      <c r="J6" s="99">
        <v>35</v>
      </c>
      <c r="K6" s="99">
        <v>9</v>
      </c>
      <c r="L6" s="99">
        <v>10</v>
      </c>
      <c r="M6" s="100">
        <v>4.1737500000000001</v>
      </c>
      <c r="N6" s="103">
        <v>10</v>
      </c>
      <c r="O6" s="64">
        <v>7000</v>
      </c>
      <c r="P6" s="65">
        <f>Table2245789101123[[#This Row],[PEMBULATAN]]*O6</f>
        <v>70000</v>
      </c>
    </row>
    <row r="7" spans="1:16" ht="25.5" customHeight="1" x14ac:dyDescent="0.2">
      <c r="A7" s="14"/>
      <c r="B7" s="75"/>
      <c r="C7" s="96" t="s">
        <v>108</v>
      </c>
      <c r="D7" s="97" t="s">
        <v>99</v>
      </c>
      <c r="E7" s="101">
        <v>44492</v>
      </c>
      <c r="F7" s="102" t="s">
        <v>100</v>
      </c>
      <c r="G7" s="101" t="s">
        <v>116</v>
      </c>
      <c r="H7" s="98" t="s">
        <v>117</v>
      </c>
      <c r="I7" s="99">
        <v>53</v>
      </c>
      <c r="J7" s="99">
        <v>35</v>
      </c>
      <c r="K7" s="99">
        <v>9</v>
      </c>
      <c r="L7" s="99">
        <v>10</v>
      </c>
      <c r="M7" s="100">
        <v>4.1737500000000001</v>
      </c>
      <c r="N7" s="103">
        <v>10</v>
      </c>
      <c r="O7" s="64">
        <v>7000</v>
      </c>
      <c r="P7" s="65">
        <f>Table2245789101123[[#This Row],[PEMBULATAN]]*O7</f>
        <v>70000</v>
      </c>
    </row>
    <row r="8" spans="1:16" ht="25.5" customHeight="1" x14ac:dyDescent="0.2">
      <c r="A8" s="14"/>
      <c r="B8" s="75"/>
      <c r="C8" s="96" t="s">
        <v>109</v>
      </c>
      <c r="D8" s="97" t="s">
        <v>99</v>
      </c>
      <c r="E8" s="101">
        <v>44492</v>
      </c>
      <c r="F8" s="102" t="s">
        <v>100</v>
      </c>
      <c r="G8" s="101" t="s">
        <v>116</v>
      </c>
      <c r="H8" s="98" t="s">
        <v>117</v>
      </c>
      <c r="I8" s="99">
        <v>53</v>
      </c>
      <c r="J8" s="99">
        <v>35</v>
      </c>
      <c r="K8" s="99">
        <v>9</v>
      </c>
      <c r="L8" s="99">
        <v>10</v>
      </c>
      <c r="M8" s="100">
        <v>4.1737500000000001</v>
      </c>
      <c r="N8" s="103">
        <v>10</v>
      </c>
      <c r="O8" s="64">
        <v>7000</v>
      </c>
      <c r="P8" s="65">
        <f>Table2245789101123[[#This Row],[PEMBULATAN]]*O8</f>
        <v>70000</v>
      </c>
    </row>
    <row r="9" spans="1:16" ht="25.5" customHeight="1" x14ac:dyDescent="0.2">
      <c r="A9" s="14"/>
      <c r="B9" s="75"/>
      <c r="C9" s="96" t="s">
        <v>110</v>
      </c>
      <c r="D9" s="97" t="s">
        <v>99</v>
      </c>
      <c r="E9" s="101">
        <v>44492</v>
      </c>
      <c r="F9" s="102" t="s">
        <v>100</v>
      </c>
      <c r="G9" s="101" t="s">
        <v>116</v>
      </c>
      <c r="H9" s="98" t="s">
        <v>117</v>
      </c>
      <c r="I9" s="99">
        <v>53</v>
      </c>
      <c r="J9" s="99">
        <v>35</v>
      </c>
      <c r="K9" s="99">
        <v>9</v>
      </c>
      <c r="L9" s="99">
        <v>10</v>
      </c>
      <c r="M9" s="100">
        <v>4.1737500000000001</v>
      </c>
      <c r="N9" s="103">
        <v>10</v>
      </c>
      <c r="O9" s="64">
        <v>7000</v>
      </c>
      <c r="P9" s="65">
        <f>Table2245789101123[[#This Row],[PEMBULATAN]]*O9</f>
        <v>70000</v>
      </c>
    </row>
    <row r="10" spans="1:16" ht="25.5" customHeight="1" x14ac:dyDescent="0.2">
      <c r="A10" s="14"/>
      <c r="B10" s="75"/>
      <c r="C10" s="96" t="s">
        <v>111</v>
      </c>
      <c r="D10" s="97" t="s">
        <v>99</v>
      </c>
      <c r="E10" s="101">
        <v>44492</v>
      </c>
      <c r="F10" s="102" t="s">
        <v>100</v>
      </c>
      <c r="G10" s="101" t="s">
        <v>116</v>
      </c>
      <c r="H10" s="98" t="s">
        <v>117</v>
      </c>
      <c r="I10" s="99">
        <v>53</v>
      </c>
      <c r="J10" s="99">
        <v>35</v>
      </c>
      <c r="K10" s="99">
        <v>9</v>
      </c>
      <c r="L10" s="99">
        <v>10</v>
      </c>
      <c r="M10" s="100">
        <v>4.1737500000000001</v>
      </c>
      <c r="N10" s="103">
        <v>10</v>
      </c>
      <c r="O10" s="64">
        <v>7000</v>
      </c>
      <c r="P10" s="65">
        <f>Table2245789101123[[#This Row],[PEMBULATAN]]*O10</f>
        <v>70000</v>
      </c>
    </row>
    <row r="11" spans="1:16" ht="25.5" customHeight="1" x14ac:dyDescent="0.2">
      <c r="A11" s="14"/>
      <c r="B11" s="75"/>
      <c r="C11" s="96" t="s">
        <v>112</v>
      </c>
      <c r="D11" s="97" t="s">
        <v>99</v>
      </c>
      <c r="E11" s="101">
        <v>44492</v>
      </c>
      <c r="F11" s="102" t="s">
        <v>100</v>
      </c>
      <c r="G11" s="101" t="s">
        <v>116</v>
      </c>
      <c r="H11" s="98" t="s">
        <v>117</v>
      </c>
      <c r="I11" s="99">
        <v>53</v>
      </c>
      <c r="J11" s="99">
        <v>35</v>
      </c>
      <c r="K11" s="99">
        <v>9</v>
      </c>
      <c r="L11" s="99">
        <v>10</v>
      </c>
      <c r="M11" s="100">
        <v>4.1737500000000001</v>
      </c>
      <c r="N11" s="103">
        <v>10</v>
      </c>
      <c r="O11" s="64">
        <v>7000</v>
      </c>
      <c r="P11" s="65">
        <f>Table2245789101123[[#This Row],[PEMBULATAN]]*O11</f>
        <v>70000</v>
      </c>
    </row>
    <row r="12" spans="1:16" ht="25.5" customHeight="1" x14ac:dyDescent="0.2">
      <c r="A12" s="14"/>
      <c r="B12" s="75"/>
      <c r="C12" s="96" t="s">
        <v>113</v>
      </c>
      <c r="D12" s="97" t="s">
        <v>99</v>
      </c>
      <c r="E12" s="101">
        <v>44492</v>
      </c>
      <c r="F12" s="102" t="s">
        <v>100</v>
      </c>
      <c r="G12" s="101" t="s">
        <v>116</v>
      </c>
      <c r="H12" s="98" t="s">
        <v>117</v>
      </c>
      <c r="I12" s="99">
        <v>53</v>
      </c>
      <c r="J12" s="99">
        <v>35</v>
      </c>
      <c r="K12" s="99">
        <v>9</v>
      </c>
      <c r="L12" s="99">
        <v>10</v>
      </c>
      <c r="M12" s="100">
        <v>4.1737500000000001</v>
      </c>
      <c r="N12" s="103">
        <v>10</v>
      </c>
      <c r="O12" s="64">
        <v>7000</v>
      </c>
      <c r="P12" s="65">
        <f>Table2245789101123[[#This Row],[PEMBULATAN]]*O12</f>
        <v>70000</v>
      </c>
    </row>
    <row r="13" spans="1:16" ht="25.5" customHeight="1" x14ac:dyDescent="0.2">
      <c r="A13" s="14"/>
      <c r="B13" s="75"/>
      <c r="C13" s="96" t="s">
        <v>114</v>
      </c>
      <c r="D13" s="97" t="s">
        <v>99</v>
      </c>
      <c r="E13" s="101">
        <v>44492</v>
      </c>
      <c r="F13" s="102" t="s">
        <v>100</v>
      </c>
      <c r="G13" s="101" t="s">
        <v>116</v>
      </c>
      <c r="H13" s="98" t="s">
        <v>117</v>
      </c>
      <c r="I13" s="99">
        <v>53</v>
      </c>
      <c r="J13" s="99">
        <v>35</v>
      </c>
      <c r="K13" s="99">
        <v>9</v>
      </c>
      <c r="L13" s="99">
        <v>10</v>
      </c>
      <c r="M13" s="100">
        <v>4.1737500000000001</v>
      </c>
      <c r="N13" s="103">
        <v>10</v>
      </c>
      <c r="O13" s="64">
        <v>7000</v>
      </c>
      <c r="P13" s="65">
        <f>Table2245789101123[[#This Row],[PEMBULATAN]]*O13</f>
        <v>70000</v>
      </c>
    </row>
    <row r="14" spans="1:16" ht="25.5" customHeight="1" x14ac:dyDescent="0.2">
      <c r="A14" s="14"/>
      <c r="B14" s="75"/>
      <c r="C14" s="96" t="s">
        <v>115</v>
      </c>
      <c r="D14" s="97" t="s">
        <v>99</v>
      </c>
      <c r="E14" s="101">
        <v>44492</v>
      </c>
      <c r="F14" s="102" t="s">
        <v>100</v>
      </c>
      <c r="G14" s="101" t="s">
        <v>116</v>
      </c>
      <c r="H14" s="98" t="s">
        <v>117</v>
      </c>
      <c r="I14" s="99">
        <v>53</v>
      </c>
      <c r="J14" s="99">
        <v>35</v>
      </c>
      <c r="K14" s="99">
        <v>9</v>
      </c>
      <c r="L14" s="99">
        <v>10</v>
      </c>
      <c r="M14" s="100">
        <v>4.1737500000000001</v>
      </c>
      <c r="N14" s="103">
        <v>10</v>
      </c>
      <c r="O14" s="64">
        <v>7000</v>
      </c>
      <c r="P14" s="65">
        <f>Table2245789101123[[#This Row],[PEMBULATAN]]*O14</f>
        <v>70000</v>
      </c>
    </row>
    <row r="15" spans="1:16" ht="22.5" customHeight="1" x14ac:dyDescent="0.2">
      <c r="A15" s="134" t="s">
        <v>30</v>
      </c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6"/>
      <c r="M15" s="78">
        <f>SUBTOTAL(109,Table2245789101123[KG VOLUME])</f>
        <v>48.336749999999988</v>
      </c>
      <c r="N15" s="68">
        <f>SUM(N3:N14)</f>
        <v>136</v>
      </c>
      <c r="O15" s="137">
        <f>SUM(P3:P14)</f>
        <v>952000</v>
      </c>
      <c r="P15" s="138"/>
    </row>
    <row r="16" spans="1:16" ht="18" customHeight="1" x14ac:dyDescent="0.2">
      <c r="A16" s="85"/>
      <c r="B16" s="56" t="s">
        <v>42</v>
      </c>
      <c r="C16" s="55"/>
      <c r="D16" s="57" t="s">
        <v>43</v>
      </c>
      <c r="E16" s="85"/>
      <c r="F16" s="85"/>
      <c r="G16" s="85"/>
      <c r="H16" s="85"/>
      <c r="I16" s="85"/>
      <c r="J16" s="85"/>
      <c r="K16" s="85"/>
      <c r="L16" s="85"/>
      <c r="M16" s="86"/>
      <c r="N16" s="87" t="s">
        <v>51</v>
      </c>
      <c r="O16" s="88"/>
      <c r="P16" s="88">
        <f>O15*10%</f>
        <v>95200</v>
      </c>
    </row>
    <row r="17" spans="1:16" ht="18" customHeight="1" thickBot="1" x14ac:dyDescent="0.25">
      <c r="A17" s="85"/>
      <c r="B17" s="56"/>
      <c r="C17" s="55"/>
      <c r="D17" s="57"/>
      <c r="E17" s="85"/>
      <c r="F17" s="85"/>
      <c r="G17" s="85"/>
      <c r="H17" s="85"/>
      <c r="I17" s="85"/>
      <c r="J17" s="85"/>
      <c r="K17" s="85"/>
      <c r="L17" s="85"/>
      <c r="M17" s="86"/>
      <c r="N17" s="89" t="s">
        <v>52</v>
      </c>
      <c r="O17" s="90"/>
      <c r="P17" s="90">
        <f>O15-P16</f>
        <v>856800</v>
      </c>
    </row>
    <row r="18" spans="1:16" ht="18" customHeight="1" x14ac:dyDescent="0.2">
      <c r="A18" s="11"/>
      <c r="H18" s="63"/>
      <c r="N18" s="62" t="s">
        <v>31</v>
      </c>
      <c r="P18" s="69">
        <f>P17*1%</f>
        <v>8568</v>
      </c>
    </row>
    <row r="19" spans="1:16" ht="18" customHeight="1" thickBot="1" x14ac:dyDescent="0.25">
      <c r="A19" s="11"/>
      <c r="H19" s="63"/>
      <c r="N19" s="62" t="s">
        <v>53</v>
      </c>
      <c r="P19" s="71">
        <f>P17*2%</f>
        <v>17136</v>
      </c>
    </row>
    <row r="20" spans="1:16" ht="18" customHeight="1" x14ac:dyDescent="0.2">
      <c r="A20" s="11"/>
      <c r="H20" s="63"/>
      <c r="N20" s="66" t="s">
        <v>32</v>
      </c>
      <c r="O20" s="67"/>
      <c r="P20" s="70">
        <f>P17+P18-P19</f>
        <v>848232</v>
      </c>
    </row>
    <row r="22" spans="1:16" x14ac:dyDescent="0.2">
      <c r="A22" s="11"/>
      <c r="H22" s="63"/>
      <c r="P22" s="71"/>
    </row>
    <row r="23" spans="1:16" x14ac:dyDescent="0.2">
      <c r="A23" s="11"/>
      <c r="H23" s="63"/>
      <c r="O23" s="58"/>
      <c r="P23" s="71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</sheetData>
  <mergeCells count="2">
    <mergeCell ref="A15:L15"/>
    <mergeCell ref="O15:P15"/>
  </mergeCells>
  <conditionalFormatting sqref="B3:B14">
    <cfRule type="duplicateValues" dxfId="145" priority="3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8"/>
  <sheetViews>
    <sheetView topLeftCell="A6" workbookViewId="0">
      <selection activeCell="K12" sqref="K12"/>
    </sheetView>
  </sheetViews>
  <sheetFormatPr defaultRowHeight="15" x14ac:dyDescent="0.2"/>
  <cols>
    <col min="1" max="1" width="8" style="4" customWidth="1"/>
    <col min="2" max="2" width="20.42578125" style="2" customWidth="1"/>
    <col min="3" max="3" width="14.5703125" style="2" customWidth="1"/>
    <col min="4" max="4" width="15.28515625" style="3" customWidth="1"/>
    <col min="5" max="5" width="8" style="12" customWidth="1"/>
    <col min="6" max="6" width="13.28515625" style="3" customWidth="1"/>
    <col min="7" max="7" width="9.5703125" style="3" customWidth="1"/>
    <col min="8" max="8" width="15.285156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4.75" customHeight="1" x14ac:dyDescent="0.2">
      <c r="A3" s="82">
        <v>401500</v>
      </c>
      <c r="B3" s="74" t="s">
        <v>118</v>
      </c>
      <c r="C3" s="9" t="s">
        <v>119</v>
      </c>
      <c r="D3" s="76" t="s">
        <v>99</v>
      </c>
      <c r="E3" s="13" t="s">
        <v>134</v>
      </c>
      <c r="F3" s="76" t="s">
        <v>135</v>
      </c>
      <c r="G3" s="13" t="s">
        <v>136</v>
      </c>
      <c r="H3" s="10" t="s">
        <v>137</v>
      </c>
      <c r="I3" s="1">
        <v>65</v>
      </c>
      <c r="J3" s="1">
        <v>56</v>
      </c>
      <c r="K3" s="1">
        <v>22</v>
      </c>
      <c r="L3" s="1">
        <v>13</v>
      </c>
      <c r="M3" s="79">
        <v>20.02</v>
      </c>
      <c r="N3" s="104">
        <v>20.02</v>
      </c>
      <c r="O3" s="64">
        <v>7000</v>
      </c>
      <c r="P3" s="65">
        <f>Table22457891011235[[#This Row],[PEMBULATAN]]*O3</f>
        <v>140140</v>
      </c>
    </row>
    <row r="4" spans="1:16" ht="24.75" customHeight="1" x14ac:dyDescent="0.2">
      <c r="A4" s="14"/>
      <c r="B4" s="75"/>
      <c r="C4" s="96" t="s">
        <v>120</v>
      </c>
      <c r="D4" s="97" t="s">
        <v>99</v>
      </c>
      <c r="E4" s="101" t="s">
        <v>134</v>
      </c>
      <c r="F4" s="102" t="s">
        <v>135</v>
      </c>
      <c r="G4" s="101" t="s">
        <v>136</v>
      </c>
      <c r="H4" s="98" t="s">
        <v>137</v>
      </c>
      <c r="I4" s="99">
        <v>65</v>
      </c>
      <c r="J4" s="99">
        <v>56</v>
      </c>
      <c r="K4" s="99">
        <v>22</v>
      </c>
      <c r="L4" s="99">
        <v>13</v>
      </c>
      <c r="M4" s="100">
        <v>20.02</v>
      </c>
      <c r="N4" s="105">
        <v>20.02</v>
      </c>
      <c r="O4" s="64">
        <v>7000</v>
      </c>
      <c r="P4" s="65">
        <f>Table22457891011235[[#This Row],[PEMBULATAN]]*O4</f>
        <v>140140</v>
      </c>
    </row>
    <row r="5" spans="1:16" ht="24.75" customHeight="1" x14ac:dyDescent="0.2">
      <c r="A5" s="14"/>
      <c r="B5" s="75"/>
      <c r="C5" s="96" t="s">
        <v>121</v>
      </c>
      <c r="D5" s="97" t="s">
        <v>99</v>
      </c>
      <c r="E5" s="101" t="s">
        <v>134</v>
      </c>
      <c r="F5" s="102" t="s">
        <v>135</v>
      </c>
      <c r="G5" s="101" t="s">
        <v>136</v>
      </c>
      <c r="H5" s="98" t="s">
        <v>137</v>
      </c>
      <c r="I5" s="99">
        <v>80</v>
      </c>
      <c r="J5" s="99">
        <v>80</v>
      </c>
      <c r="K5" s="99">
        <v>31</v>
      </c>
      <c r="L5" s="99">
        <v>13</v>
      </c>
      <c r="M5" s="100">
        <v>49.6</v>
      </c>
      <c r="N5" s="105">
        <v>49.6</v>
      </c>
      <c r="O5" s="64">
        <v>7000</v>
      </c>
      <c r="P5" s="65">
        <f>Table22457891011235[[#This Row],[PEMBULATAN]]*O5</f>
        <v>347200</v>
      </c>
    </row>
    <row r="6" spans="1:16" ht="24.75" customHeight="1" x14ac:dyDescent="0.2">
      <c r="A6" s="14"/>
      <c r="B6" s="75"/>
      <c r="C6" s="96" t="s">
        <v>122</v>
      </c>
      <c r="D6" s="97" t="s">
        <v>99</v>
      </c>
      <c r="E6" s="101" t="s">
        <v>134</v>
      </c>
      <c r="F6" s="102" t="s">
        <v>135</v>
      </c>
      <c r="G6" s="101" t="s">
        <v>136</v>
      </c>
      <c r="H6" s="98" t="s">
        <v>137</v>
      </c>
      <c r="I6" s="99">
        <v>80</v>
      </c>
      <c r="J6" s="99">
        <v>80</v>
      </c>
      <c r="K6" s="99">
        <v>31</v>
      </c>
      <c r="L6" s="99">
        <v>13</v>
      </c>
      <c r="M6" s="100">
        <v>49.6</v>
      </c>
      <c r="N6" s="105">
        <v>49.6</v>
      </c>
      <c r="O6" s="64">
        <v>7000</v>
      </c>
      <c r="P6" s="65">
        <f>Table22457891011235[[#This Row],[PEMBULATAN]]*O6</f>
        <v>347200</v>
      </c>
    </row>
    <row r="7" spans="1:16" ht="24.75" customHeight="1" x14ac:dyDescent="0.2">
      <c r="A7" s="14"/>
      <c r="B7" s="75"/>
      <c r="C7" s="96" t="s">
        <v>123</v>
      </c>
      <c r="D7" s="97" t="s">
        <v>99</v>
      </c>
      <c r="E7" s="101" t="s">
        <v>134</v>
      </c>
      <c r="F7" s="102" t="s">
        <v>135</v>
      </c>
      <c r="G7" s="101" t="s">
        <v>136</v>
      </c>
      <c r="H7" s="98" t="s">
        <v>137</v>
      </c>
      <c r="I7" s="99">
        <v>80</v>
      </c>
      <c r="J7" s="99">
        <v>80</v>
      </c>
      <c r="K7" s="99">
        <v>31</v>
      </c>
      <c r="L7" s="99">
        <v>13</v>
      </c>
      <c r="M7" s="100">
        <v>49.6</v>
      </c>
      <c r="N7" s="105">
        <v>49.6</v>
      </c>
      <c r="O7" s="64">
        <v>7000</v>
      </c>
      <c r="P7" s="65">
        <f>Table22457891011235[[#This Row],[PEMBULATAN]]*O7</f>
        <v>347200</v>
      </c>
    </row>
    <row r="8" spans="1:16" ht="24.75" customHeight="1" x14ac:dyDescent="0.2">
      <c r="A8" s="14"/>
      <c r="B8" s="75"/>
      <c r="C8" s="96" t="s">
        <v>124</v>
      </c>
      <c r="D8" s="97" t="s">
        <v>99</v>
      </c>
      <c r="E8" s="101" t="s">
        <v>134</v>
      </c>
      <c r="F8" s="102" t="s">
        <v>135</v>
      </c>
      <c r="G8" s="101" t="s">
        <v>136</v>
      </c>
      <c r="H8" s="98" t="s">
        <v>137</v>
      </c>
      <c r="I8" s="99">
        <v>65</v>
      </c>
      <c r="J8" s="99">
        <v>56</v>
      </c>
      <c r="K8" s="99">
        <v>22</v>
      </c>
      <c r="L8" s="99">
        <v>13</v>
      </c>
      <c r="M8" s="100">
        <v>20.02</v>
      </c>
      <c r="N8" s="105">
        <v>20.02</v>
      </c>
      <c r="O8" s="64">
        <v>7000</v>
      </c>
      <c r="P8" s="65">
        <f>Table22457891011235[[#This Row],[PEMBULATAN]]*O8</f>
        <v>140140</v>
      </c>
    </row>
    <row r="9" spans="1:16" ht="24.75" customHeight="1" x14ac:dyDescent="0.2">
      <c r="A9" s="14"/>
      <c r="B9" s="75"/>
      <c r="C9" s="96" t="s">
        <v>125</v>
      </c>
      <c r="D9" s="97" t="s">
        <v>99</v>
      </c>
      <c r="E9" s="101" t="s">
        <v>134</v>
      </c>
      <c r="F9" s="102" t="s">
        <v>135</v>
      </c>
      <c r="G9" s="101" t="s">
        <v>136</v>
      </c>
      <c r="H9" s="98" t="s">
        <v>137</v>
      </c>
      <c r="I9" s="99">
        <v>65</v>
      </c>
      <c r="J9" s="99">
        <v>56</v>
      </c>
      <c r="K9" s="99">
        <v>22</v>
      </c>
      <c r="L9" s="99">
        <v>13</v>
      </c>
      <c r="M9" s="100">
        <v>20.02</v>
      </c>
      <c r="N9" s="105">
        <v>20.02</v>
      </c>
      <c r="O9" s="64">
        <v>7000</v>
      </c>
      <c r="P9" s="65">
        <f>Table22457891011235[[#This Row],[PEMBULATAN]]*O9</f>
        <v>140140</v>
      </c>
    </row>
    <row r="10" spans="1:16" ht="24.75" customHeight="1" x14ac:dyDescent="0.2">
      <c r="A10" s="14"/>
      <c r="B10" s="75"/>
      <c r="C10" s="96" t="s">
        <v>126</v>
      </c>
      <c r="D10" s="97" t="s">
        <v>99</v>
      </c>
      <c r="E10" s="101" t="s">
        <v>134</v>
      </c>
      <c r="F10" s="102" t="s">
        <v>135</v>
      </c>
      <c r="G10" s="101" t="s">
        <v>136</v>
      </c>
      <c r="H10" s="98" t="s">
        <v>137</v>
      </c>
      <c r="I10" s="99">
        <v>42</v>
      </c>
      <c r="J10" s="99">
        <v>34</v>
      </c>
      <c r="K10" s="99">
        <v>29</v>
      </c>
      <c r="L10" s="99">
        <v>9</v>
      </c>
      <c r="M10" s="100">
        <v>10.353</v>
      </c>
      <c r="N10" s="105">
        <v>11</v>
      </c>
      <c r="O10" s="64">
        <v>7000</v>
      </c>
      <c r="P10" s="65">
        <f>Table22457891011235[[#This Row],[PEMBULATAN]]*O10</f>
        <v>77000</v>
      </c>
    </row>
    <row r="11" spans="1:16" ht="24.75" customHeight="1" x14ac:dyDescent="0.2">
      <c r="A11" s="14"/>
      <c r="B11" s="75"/>
      <c r="C11" s="96" t="s">
        <v>127</v>
      </c>
      <c r="D11" s="97" t="s">
        <v>99</v>
      </c>
      <c r="E11" s="101" t="s">
        <v>134</v>
      </c>
      <c r="F11" s="102" t="s">
        <v>135</v>
      </c>
      <c r="G11" s="101" t="s">
        <v>136</v>
      </c>
      <c r="H11" s="98" t="s">
        <v>137</v>
      </c>
      <c r="I11" s="99">
        <v>42</v>
      </c>
      <c r="J11" s="99">
        <v>34</v>
      </c>
      <c r="K11" s="99">
        <v>29</v>
      </c>
      <c r="L11" s="99">
        <v>9</v>
      </c>
      <c r="M11" s="100">
        <v>10.353</v>
      </c>
      <c r="N11" s="105">
        <v>11</v>
      </c>
      <c r="O11" s="64">
        <v>7000</v>
      </c>
      <c r="P11" s="65">
        <f>Table22457891011235[[#This Row],[PEMBULATAN]]*O11</f>
        <v>77000</v>
      </c>
    </row>
    <row r="12" spans="1:16" ht="24.75" customHeight="1" x14ac:dyDescent="0.2">
      <c r="A12" s="14"/>
      <c r="B12" s="75"/>
      <c r="C12" s="96" t="s">
        <v>128</v>
      </c>
      <c r="D12" s="97" t="s">
        <v>99</v>
      </c>
      <c r="E12" s="101" t="s">
        <v>134</v>
      </c>
      <c r="F12" s="102" t="s">
        <v>135</v>
      </c>
      <c r="G12" s="101" t="s">
        <v>136</v>
      </c>
      <c r="H12" s="98" t="s">
        <v>137</v>
      </c>
      <c r="I12" s="99">
        <v>47</v>
      </c>
      <c r="J12" s="99">
        <v>45</v>
      </c>
      <c r="K12" s="99">
        <v>47</v>
      </c>
      <c r="L12" s="99">
        <v>13</v>
      </c>
      <c r="M12" s="100">
        <v>24.85125</v>
      </c>
      <c r="N12" s="105">
        <v>24.85125</v>
      </c>
      <c r="O12" s="64">
        <v>7000</v>
      </c>
      <c r="P12" s="65">
        <f>Table22457891011235[[#This Row],[PEMBULATAN]]*O12</f>
        <v>173958.75</v>
      </c>
    </row>
    <row r="13" spans="1:16" ht="24.75" customHeight="1" x14ac:dyDescent="0.2">
      <c r="A13" s="14"/>
      <c r="B13" s="75"/>
      <c r="C13" s="96" t="s">
        <v>129</v>
      </c>
      <c r="D13" s="97" t="s">
        <v>99</v>
      </c>
      <c r="E13" s="101" t="s">
        <v>134</v>
      </c>
      <c r="F13" s="102" t="s">
        <v>135</v>
      </c>
      <c r="G13" s="101" t="s">
        <v>136</v>
      </c>
      <c r="H13" s="98" t="s">
        <v>137</v>
      </c>
      <c r="I13" s="99">
        <v>47</v>
      </c>
      <c r="J13" s="99">
        <v>45</v>
      </c>
      <c r="K13" s="99">
        <v>47</v>
      </c>
      <c r="L13" s="99">
        <v>13</v>
      </c>
      <c r="M13" s="100">
        <v>24.85125</v>
      </c>
      <c r="N13" s="105">
        <v>24.85125</v>
      </c>
      <c r="O13" s="64">
        <v>7000</v>
      </c>
      <c r="P13" s="65">
        <f>Table22457891011235[[#This Row],[PEMBULATAN]]*O13</f>
        <v>173958.75</v>
      </c>
    </row>
    <row r="14" spans="1:16" ht="24.75" customHeight="1" x14ac:dyDescent="0.2">
      <c r="A14" s="14"/>
      <c r="B14" s="75"/>
      <c r="C14" s="96" t="s">
        <v>130</v>
      </c>
      <c r="D14" s="97" t="s">
        <v>99</v>
      </c>
      <c r="E14" s="101" t="s">
        <v>134</v>
      </c>
      <c r="F14" s="102" t="s">
        <v>135</v>
      </c>
      <c r="G14" s="101" t="s">
        <v>136</v>
      </c>
      <c r="H14" s="98" t="s">
        <v>137</v>
      </c>
      <c r="I14" s="99">
        <v>47</v>
      </c>
      <c r="J14" s="99">
        <v>45</v>
      </c>
      <c r="K14" s="99">
        <v>47</v>
      </c>
      <c r="L14" s="99">
        <v>13</v>
      </c>
      <c r="M14" s="100">
        <v>24.85125</v>
      </c>
      <c r="N14" s="105">
        <v>24.85125</v>
      </c>
      <c r="O14" s="64">
        <v>7000</v>
      </c>
      <c r="P14" s="65">
        <f>Table22457891011235[[#This Row],[PEMBULATAN]]*O14</f>
        <v>173958.75</v>
      </c>
    </row>
    <row r="15" spans="1:16" ht="24.75" customHeight="1" x14ac:dyDescent="0.2">
      <c r="A15" s="14"/>
      <c r="B15" s="75"/>
      <c r="C15" s="96" t="s">
        <v>131</v>
      </c>
      <c r="D15" s="97" t="s">
        <v>99</v>
      </c>
      <c r="E15" s="101" t="s">
        <v>134</v>
      </c>
      <c r="F15" s="102" t="s">
        <v>135</v>
      </c>
      <c r="G15" s="101" t="s">
        <v>136</v>
      </c>
      <c r="H15" s="98" t="s">
        <v>137</v>
      </c>
      <c r="I15" s="99">
        <v>47</v>
      </c>
      <c r="J15" s="99">
        <v>45</v>
      </c>
      <c r="K15" s="99">
        <v>47</v>
      </c>
      <c r="L15" s="99">
        <v>13</v>
      </c>
      <c r="M15" s="100">
        <v>24.85125</v>
      </c>
      <c r="N15" s="105">
        <v>24.85125</v>
      </c>
      <c r="O15" s="64">
        <v>7000</v>
      </c>
      <c r="P15" s="65">
        <f>Table22457891011235[[#This Row],[PEMBULATAN]]*O15</f>
        <v>173958.75</v>
      </c>
    </row>
    <row r="16" spans="1:16" ht="24.75" customHeight="1" x14ac:dyDescent="0.2">
      <c r="A16" s="14"/>
      <c r="B16" s="75"/>
      <c r="C16" s="96" t="s">
        <v>132</v>
      </c>
      <c r="D16" s="97" t="s">
        <v>99</v>
      </c>
      <c r="E16" s="101" t="s">
        <v>134</v>
      </c>
      <c r="F16" s="102" t="s">
        <v>135</v>
      </c>
      <c r="G16" s="101" t="s">
        <v>136</v>
      </c>
      <c r="H16" s="98" t="s">
        <v>137</v>
      </c>
      <c r="I16" s="99">
        <v>47</v>
      </c>
      <c r="J16" s="99">
        <v>28</v>
      </c>
      <c r="K16" s="99">
        <v>20</v>
      </c>
      <c r="L16" s="99">
        <v>3</v>
      </c>
      <c r="M16" s="100">
        <v>6.58</v>
      </c>
      <c r="N16" s="105">
        <v>6.58</v>
      </c>
      <c r="O16" s="64">
        <v>7000</v>
      </c>
      <c r="P16" s="65">
        <f>Table22457891011235[[#This Row],[PEMBULATAN]]*O16</f>
        <v>46060</v>
      </c>
    </row>
    <row r="17" spans="1:16" ht="24.75" customHeight="1" x14ac:dyDescent="0.2">
      <c r="A17" s="14"/>
      <c r="B17" s="75"/>
      <c r="C17" s="96" t="s">
        <v>133</v>
      </c>
      <c r="D17" s="97" t="s">
        <v>99</v>
      </c>
      <c r="E17" s="101" t="s">
        <v>134</v>
      </c>
      <c r="F17" s="102" t="s">
        <v>135</v>
      </c>
      <c r="G17" s="101" t="s">
        <v>136</v>
      </c>
      <c r="H17" s="98" t="s">
        <v>137</v>
      </c>
      <c r="I17" s="99">
        <v>30</v>
      </c>
      <c r="J17" s="99">
        <v>26</v>
      </c>
      <c r="K17" s="99">
        <v>14</v>
      </c>
      <c r="L17" s="99">
        <v>3</v>
      </c>
      <c r="M17" s="100">
        <v>2.73</v>
      </c>
      <c r="N17" s="103">
        <v>3</v>
      </c>
      <c r="O17" s="64">
        <v>7000</v>
      </c>
      <c r="P17" s="65">
        <f>Table22457891011235[[#This Row],[PEMBULATAN]]*O17</f>
        <v>21000</v>
      </c>
    </row>
    <row r="18" spans="1:16" ht="22.5" customHeight="1" x14ac:dyDescent="0.2">
      <c r="A18" s="134" t="s">
        <v>30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6"/>
      <c r="M18" s="78">
        <f>SUBTOTAL(109,Table22457891011235[KG VOLUME])</f>
        <v>358.30100000000004</v>
      </c>
      <c r="N18" s="68">
        <f>SUM(N3:N17)</f>
        <v>359.86500000000001</v>
      </c>
      <c r="O18" s="137">
        <f>SUM(P3:P17)</f>
        <v>2519055</v>
      </c>
      <c r="P18" s="138"/>
    </row>
    <row r="19" spans="1:16" ht="18" customHeight="1" x14ac:dyDescent="0.2">
      <c r="A19" s="85"/>
      <c r="B19" s="56" t="s">
        <v>42</v>
      </c>
      <c r="C19" s="55"/>
      <c r="D19" s="57" t="s">
        <v>43</v>
      </c>
      <c r="E19" s="85"/>
      <c r="F19" s="85"/>
      <c r="G19" s="85"/>
      <c r="H19" s="85"/>
      <c r="I19" s="85"/>
      <c r="J19" s="85"/>
      <c r="K19" s="85"/>
      <c r="L19" s="85"/>
      <c r="M19" s="86"/>
      <c r="N19" s="87" t="s">
        <v>51</v>
      </c>
      <c r="O19" s="88"/>
      <c r="P19" s="88">
        <f>O18*10%</f>
        <v>251905.5</v>
      </c>
    </row>
    <row r="20" spans="1:16" ht="18" customHeight="1" thickBot="1" x14ac:dyDescent="0.25">
      <c r="A20" s="85"/>
      <c r="B20" s="56"/>
      <c r="C20" s="55"/>
      <c r="D20" s="57"/>
      <c r="E20" s="85"/>
      <c r="F20" s="85"/>
      <c r="G20" s="85"/>
      <c r="H20" s="85"/>
      <c r="I20" s="85"/>
      <c r="J20" s="85"/>
      <c r="K20" s="85"/>
      <c r="L20" s="85"/>
      <c r="M20" s="86"/>
      <c r="N20" s="89" t="s">
        <v>52</v>
      </c>
      <c r="O20" s="90"/>
      <c r="P20" s="90">
        <f>O18-P19</f>
        <v>2267149.5</v>
      </c>
    </row>
    <row r="21" spans="1:16" ht="18" customHeight="1" x14ac:dyDescent="0.2">
      <c r="A21" s="11"/>
      <c r="H21" s="63"/>
      <c r="N21" s="62" t="s">
        <v>31</v>
      </c>
      <c r="P21" s="69">
        <f>P20*1%</f>
        <v>22671.494999999999</v>
      </c>
    </row>
    <row r="22" spans="1:16" ht="18" customHeight="1" thickBot="1" x14ac:dyDescent="0.25">
      <c r="A22" s="11"/>
      <c r="H22" s="63"/>
      <c r="N22" s="62" t="s">
        <v>53</v>
      </c>
      <c r="P22" s="71">
        <f>P20*2%</f>
        <v>45342.99</v>
      </c>
    </row>
    <row r="23" spans="1:16" ht="18" customHeight="1" x14ac:dyDescent="0.2">
      <c r="A23" s="11"/>
      <c r="H23" s="63"/>
      <c r="N23" s="66" t="s">
        <v>32</v>
      </c>
      <c r="O23" s="67"/>
      <c r="P23" s="70">
        <f>P20+P21-P22</f>
        <v>2244478.0049999999</v>
      </c>
    </row>
    <row r="25" spans="1:16" x14ac:dyDescent="0.2">
      <c r="A25" s="11"/>
      <c r="H25" s="63"/>
      <c r="P25" s="71"/>
    </row>
    <row r="26" spans="1:16" x14ac:dyDescent="0.2">
      <c r="A26" s="11"/>
      <c r="H26" s="63"/>
      <c r="O26" s="58"/>
      <c r="P26" s="71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</sheetData>
  <mergeCells count="2">
    <mergeCell ref="A18:L18"/>
    <mergeCell ref="O18:P18"/>
  </mergeCells>
  <conditionalFormatting sqref="B3:B17">
    <cfRule type="duplicateValues" dxfId="129" priority="32"/>
  </conditionalFormatting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workbookViewId="0">
      <selection activeCell="I9" sqref="I9"/>
    </sheetView>
  </sheetViews>
  <sheetFormatPr defaultRowHeight="15" x14ac:dyDescent="0.2"/>
  <cols>
    <col min="1" max="1" width="8" style="4" customWidth="1"/>
    <col min="2" max="2" width="19.5703125" style="2" customWidth="1"/>
    <col min="3" max="3" width="15.7109375" style="2" customWidth="1"/>
    <col min="4" max="4" width="14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6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31.5" customHeight="1" x14ac:dyDescent="0.2">
      <c r="A3" s="82">
        <v>402250</v>
      </c>
      <c r="B3" s="74" t="s">
        <v>138</v>
      </c>
      <c r="C3" s="9" t="s">
        <v>139</v>
      </c>
      <c r="D3" s="76" t="s">
        <v>99</v>
      </c>
      <c r="E3" s="13" t="s">
        <v>143</v>
      </c>
      <c r="F3" s="76" t="s">
        <v>135</v>
      </c>
      <c r="G3" s="13" t="s">
        <v>136</v>
      </c>
      <c r="H3" s="10" t="s">
        <v>137</v>
      </c>
      <c r="I3" s="1">
        <v>54</v>
      </c>
      <c r="J3" s="1">
        <v>40</v>
      </c>
      <c r="K3" s="1">
        <v>10</v>
      </c>
      <c r="L3" s="1">
        <v>10</v>
      </c>
      <c r="M3" s="79">
        <v>5.4</v>
      </c>
      <c r="N3" s="8">
        <v>10</v>
      </c>
      <c r="O3" s="64">
        <v>7000</v>
      </c>
      <c r="P3" s="65">
        <f>Table224578910112356[[#This Row],[PEMBULATAN]]*O3</f>
        <v>70000</v>
      </c>
    </row>
    <row r="4" spans="1:16" ht="31.5" customHeight="1" x14ac:dyDescent="0.2">
      <c r="A4" s="14"/>
      <c r="B4" s="75"/>
      <c r="C4" s="96" t="s">
        <v>140</v>
      </c>
      <c r="D4" s="97" t="s">
        <v>99</v>
      </c>
      <c r="E4" s="101" t="s">
        <v>143</v>
      </c>
      <c r="F4" s="102" t="s">
        <v>135</v>
      </c>
      <c r="G4" s="101" t="s">
        <v>136</v>
      </c>
      <c r="H4" s="98" t="s">
        <v>137</v>
      </c>
      <c r="I4" s="99">
        <v>54</v>
      </c>
      <c r="J4" s="99">
        <v>40</v>
      </c>
      <c r="K4" s="99">
        <v>10</v>
      </c>
      <c r="L4" s="99">
        <v>10</v>
      </c>
      <c r="M4" s="100">
        <v>5.4</v>
      </c>
      <c r="N4" s="103">
        <v>10</v>
      </c>
      <c r="O4" s="64">
        <v>7000</v>
      </c>
      <c r="P4" s="65">
        <f>Table224578910112356[[#This Row],[PEMBULATAN]]*O4</f>
        <v>70000</v>
      </c>
    </row>
    <row r="5" spans="1:16" ht="31.5" customHeight="1" x14ac:dyDescent="0.2">
      <c r="A5" s="14"/>
      <c r="B5" s="75"/>
      <c r="C5" s="96" t="s">
        <v>141</v>
      </c>
      <c r="D5" s="97" t="s">
        <v>99</v>
      </c>
      <c r="E5" s="101" t="s">
        <v>143</v>
      </c>
      <c r="F5" s="102" t="s">
        <v>135</v>
      </c>
      <c r="G5" s="101" t="s">
        <v>136</v>
      </c>
      <c r="H5" s="98" t="s">
        <v>137</v>
      </c>
      <c r="I5" s="99">
        <v>70</v>
      </c>
      <c r="J5" s="99">
        <v>41</v>
      </c>
      <c r="K5" s="99">
        <v>15</v>
      </c>
      <c r="L5" s="99">
        <v>10</v>
      </c>
      <c r="M5" s="100">
        <v>10.762499999999999</v>
      </c>
      <c r="N5" s="105">
        <v>10.762499999999999</v>
      </c>
      <c r="O5" s="64">
        <v>7000</v>
      </c>
      <c r="P5" s="65">
        <f>Table224578910112356[[#This Row],[PEMBULATAN]]*O5</f>
        <v>75337.5</v>
      </c>
    </row>
    <row r="6" spans="1:16" ht="31.5" customHeight="1" x14ac:dyDescent="0.2">
      <c r="A6" s="14"/>
      <c r="B6" s="75"/>
      <c r="C6" s="96" t="s">
        <v>142</v>
      </c>
      <c r="D6" s="97" t="s">
        <v>99</v>
      </c>
      <c r="E6" s="101" t="s">
        <v>143</v>
      </c>
      <c r="F6" s="102" t="s">
        <v>135</v>
      </c>
      <c r="G6" s="101" t="s">
        <v>136</v>
      </c>
      <c r="H6" s="98" t="s">
        <v>137</v>
      </c>
      <c r="I6" s="99">
        <v>70</v>
      </c>
      <c r="J6" s="99">
        <v>41</v>
      </c>
      <c r="K6" s="99">
        <v>15</v>
      </c>
      <c r="L6" s="99">
        <v>10</v>
      </c>
      <c r="M6" s="100">
        <v>10.762499999999999</v>
      </c>
      <c r="N6" s="105">
        <v>10.762499999999999</v>
      </c>
      <c r="O6" s="64">
        <v>7000</v>
      </c>
      <c r="P6" s="65">
        <f>Table224578910112356[[#This Row],[PEMBULATAN]]*O6</f>
        <v>75337.5</v>
      </c>
    </row>
    <row r="7" spans="1:16" ht="22.5" customHeight="1" x14ac:dyDescent="0.2">
      <c r="A7" s="134" t="s">
        <v>30</v>
      </c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6"/>
      <c r="M7" s="78">
        <f>SUBTOTAL(109,Table224578910112356[KG VOLUME])</f>
        <v>32.325000000000003</v>
      </c>
      <c r="N7" s="68">
        <f>SUM(N3:N6)</f>
        <v>41.524999999999999</v>
      </c>
      <c r="O7" s="137">
        <f>SUM(P3:P6)</f>
        <v>290675</v>
      </c>
      <c r="P7" s="138"/>
    </row>
    <row r="8" spans="1:16" ht="18" customHeight="1" x14ac:dyDescent="0.2">
      <c r="A8" s="85"/>
      <c r="B8" s="56" t="s">
        <v>42</v>
      </c>
      <c r="C8" s="55"/>
      <c r="D8" s="57" t="s">
        <v>43</v>
      </c>
      <c r="E8" s="85"/>
      <c r="F8" s="85"/>
      <c r="G8" s="85"/>
      <c r="H8" s="85"/>
      <c r="I8" s="85"/>
      <c r="J8" s="85"/>
      <c r="K8" s="85"/>
      <c r="L8" s="85"/>
      <c r="M8" s="86"/>
      <c r="N8" s="87" t="s">
        <v>51</v>
      </c>
      <c r="O8" s="88"/>
      <c r="P8" s="88">
        <f>O7*10%</f>
        <v>29067.5</v>
      </c>
    </row>
    <row r="9" spans="1:16" ht="18" customHeight="1" thickBot="1" x14ac:dyDescent="0.25">
      <c r="A9" s="85"/>
      <c r="B9" s="56"/>
      <c r="C9" s="55"/>
      <c r="D9" s="57"/>
      <c r="E9" s="85"/>
      <c r="F9" s="85"/>
      <c r="G9" s="85"/>
      <c r="H9" s="85"/>
      <c r="I9" s="85"/>
      <c r="J9" s="85"/>
      <c r="K9" s="85"/>
      <c r="L9" s="85"/>
      <c r="M9" s="86"/>
      <c r="N9" s="89" t="s">
        <v>52</v>
      </c>
      <c r="O9" s="90"/>
      <c r="P9" s="90">
        <f>O7-P8</f>
        <v>261607.5</v>
      </c>
    </row>
    <row r="10" spans="1:16" ht="18" customHeight="1" x14ac:dyDescent="0.2">
      <c r="A10" s="11"/>
      <c r="H10" s="63"/>
      <c r="N10" s="62" t="s">
        <v>31</v>
      </c>
      <c r="P10" s="69">
        <f>P9*1%</f>
        <v>2616.0750000000003</v>
      </c>
    </row>
    <row r="11" spans="1:16" ht="18" customHeight="1" thickBot="1" x14ac:dyDescent="0.25">
      <c r="A11" s="11"/>
      <c r="H11" s="63"/>
      <c r="N11" s="62" t="s">
        <v>53</v>
      </c>
      <c r="P11" s="71">
        <f>P9*2%</f>
        <v>5232.1500000000005</v>
      </c>
    </row>
    <row r="12" spans="1:16" ht="18" customHeight="1" x14ac:dyDescent="0.2">
      <c r="A12" s="11"/>
      <c r="H12" s="63"/>
      <c r="N12" s="66" t="s">
        <v>32</v>
      </c>
      <c r="O12" s="67"/>
      <c r="P12" s="70">
        <f>P9+P10-P11</f>
        <v>258991.42500000002</v>
      </c>
    </row>
    <row r="14" spans="1:16" x14ac:dyDescent="0.2">
      <c r="A14" s="11"/>
      <c r="H14" s="63"/>
      <c r="P14" s="71"/>
    </row>
    <row r="15" spans="1:16" x14ac:dyDescent="0.2">
      <c r="A15" s="11"/>
      <c r="H15" s="63"/>
      <c r="O15" s="58"/>
      <c r="P15" s="71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</sheetData>
  <mergeCells count="2">
    <mergeCell ref="A7:L7"/>
    <mergeCell ref="O7:P7"/>
  </mergeCells>
  <conditionalFormatting sqref="B3:B6">
    <cfRule type="duplicateValues" dxfId="113" priority="3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5"/>
  <sheetViews>
    <sheetView topLeftCell="A3" workbookViewId="0">
      <selection activeCell="F6" sqref="F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5" style="3" customWidth="1"/>
    <col min="5" max="5" width="8" style="12" customWidth="1"/>
    <col min="6" max="6" width="11.85546875" style="3" customWidth="1"/>
    <col min="7" max="7" width="9.5703125" style="3" customWidth="1"/>
    <col min="8" max="8" width="17.1406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4" customHeight="1" x14ac:dyDescent="0.2">
      <c r="A3" s="82">
        <v>402424</v>
      </c>
      <c r="B3" s="74" t="s">
        <v>144</v>
      </c>
      <c r="C3" s="9" t="s">
        <v>145</v>
      </c>
      <c r="D3" s="76" t="s">
        <v>99</v>
      </c>
      <c r="E3" s="13" t="s">
        <v>157</v>
      </c>
      <c r="F3" s="76" t="s">
        <v>135</v>
      </c>
      <c r="G3" s="13" t="s">
        <v>136</v>
      </c>
      <c r="H3" s="10" t="s">
        <v>137</v>
      </c>
      <c r="I3" s="1">
        <v>13</v>
      </c>
      <c r="J3" s="1">
        <v>66</v>
      </c>
      <c r="K3" s="1">
        <v>58</v>
      </c>
      <c r="L3" s="1">
        <v>22</v>
      </c>
      <c r="M3" s="79">
        <v>12.441000000000001</v>
      </c>
      <c r="N3" s="8">
        <v>22</v>
      </c>
      <c r="O3" s="64">
        <v>7000</v>
      </c>
      <c r="P3" s="65">
        <f>Table224578910112357[[#This Row],[PEMBULATAN]]*O3</f>
        <v>154000</v>
      </c>
    </row>
    <row r="4" spans="1:16" ht="24" customHeight="1" x14ac:dyDescent="0.2">
      <c r="A4" s="14"/>
      <c r="B4" s="75"/>
      <c r="C4" s="96" t="s">
        <v>146</v>
      </c>
      <c r="D4" s="97" t="s">
        <v>99</v>
      </c>
      <c r="E4" s="101" t="s">
        <v>157</v>
      </c>
      <c r="F4" s="102" t="s">
        <v>135</v>
      </c>
      <c r="G4" s="101" t="s">
        <v>136</v>
      </c>
      <c r="H4" s="98" t="s">
        <v>137</v>
      </c>
      <c r="I4" s="99">
        <v>13</v>
      </c>
      <c r="J4" s="99">
        <v>66</v>
      </c>
      <c r="K4" s="99">
        <v>58</v>
      </c>
      <c r="L4" s="99">
        <v>22</v>
      </c>
      <c r="M4" s="100">
        <v>12.441000000000001</v>
      </c>
      <c r="N4" s="103">
        <v>22</v>
      </c>
      <c r="O4" s="64">
        <v>7000</v>
      </c>
      <c r="P4" s="65">
        <f>Table224578910112357[[#This Row],[PEMBULATAN]]*O4</f>
        <v>154000</v>
      </c>
    </row>
    <row r="5" spans="1:16" ht="24" customHeight="1" x14ac:dyDescent="0.2">
      <c r="A5" s="14"/>
      <c r="B5" s="75"/>
      <c r="C5" s="96" t="s">
        <v>147</v>
      </c>
      <c r="D5" s="97" t="s">
        <v>99</v>
      </c>
      <c r="E5" s="101" t="s">
        <v>157</v>
      </c>
      <c r="F5" s="102" t="s">
        <v>135</v>
      </c>
      <c r="G5" s="101" t="s">
        <v>136</v>
      </c>
      <c r="H5" s="98" t="s">
        <v>137</v>
      </c>
      <c r="I5" s="99">
        <v>13</v>
      </c>
      <c r="J5" s="99">
        <v>66</v>
      </c>
      <c r="K5" s="99">
        <v>58</v>
      </c>
      <c r="L5" s="99">
        <v>22</v>
      </c>
      <c r="M5" s="100">
        <v>12.441000000000001</v>
      </c>
      <c r="N5" s="103">
        <v>22</v>
      </c>
      <c r="O5" s="64">
        <v>7000</v>
      </c>
      <c r="P5" s="65">
        <f>Table224578910112357[[#This Row],[PEMBULATAN]]*O5</f>
        <v>154000</v>
      </c>
    </row>
    <row r="6" spans="1:16" ht="24" customHeight="1" x14ac:dyDescent="0.2">
      <c r="A6" s="14"/>
      <c r="B6" s="75"/>
      <c r="C6" s="96" t="s">
        <v>148</v>
      </c>
      <c r="D6" s="97" t="s">
        <v>99</v>
      </c>
      <c r="E6" s="101" t="s">
        <v>157</v>
      </c>
      <c r="F6" s="102" t="s">
        <v>135</v>
      </c>
      <c r="G6" s="101" t="s">
        <v>136</v>
      </c>
      <c r="H6" s="98" t="s">
        <v>137</v>
      </c>
      <c r="I6" s="99">
        <v>13</v>
      </c>
      <c r="J6" s="99">
        <v>66</v>
      </c>
      <c r="K6" s="99">
        <v>58</v>
      </c>
      <c r="L6" s="99">
        <v>22</v>
      </c>
      <c r="M6" s="100">
        <v>12.441000000000001</v>
      </c>
      <c r="N6" s="103">
        <v>22</v>
      </c>
      <c r="O6" s="64">
        <v>7000</v>
      </c>
      <c r="P6" s="65">
        <f>Table224578910112357[[#This Row],[PEMBULATAN]]*O6</f>
        <v>154000</v>
      </c>
    </row>
    <row r="7" spans="1:16" ht="24" customHeight="1" x14ac:dyDescent="0.2">
      <c r="A7" s="14"/>
      <c r="B7" s="75"/>
      <c r="C7" s="96" t="s">
        <v>149</v>
      </c>
      <c r="D7" s="97" t="s">
        <v>99</v>
      </c>
      <c r="E7" s="101" t="s">
        <v>157</v>
      </c>
      <c r="F7" s="102" t="s">
        <v>135</v>
      </c>
      <c r="G7" s="101" t="s">
        <v>136</v>
      </c>
      <c r="H7" s="98" t="s">
        <v>137</v>
      </c>
      <c r="I7" s="99">
        <v>4</v>
      </c>
      <c r="J7" s="99">
        <v>48</v>
      </c>
      <c r="K7" s="99">
        <v>30</v>
      </c>
      <c r="L7" s="99">
        <v>21</v>
      </c>
      <c r="M7" s="100">
        <v>1.44</v>
      </c>
      <c r="N7" s="103">
        <v>21</v>
      </c>
      <c r="O7" s="64">
        <v>7000</v>
      </c>
      <c r="P7" s="65">
        <f>Table224578910112357[[#This Row],[PEMBULATAN]]*O7</f>
        <v>147000</v>
      </c>
    </row>
    <row r="8" spans="1:16" ht="24" customHeight="1" x14ac:dyDescent="0.2">
      <c r="A8" s="14"/>
      <c r="B8" s="75"/>
      <c r="C8" s="96" t="s">
        <v>150</v>
      </c>
      <c r="D8" s="97" t="s">
        <v>99</v>
      </c>
      <c r="E8" s="101" t="s">
        <v>157</v>
      </c>
      <c r="F8" s="102" t="s">
        <v>135</v>
      </c>
      <c r="G8" s="101" t="s">
        <v>136</v>
      </c>
      <c r="H8" s="98" t="s">
        <v>137</v>
      </c>
      <c r="I8" s="99">
        <v>4</v>
      </c>
      <c r="J8" s="99">
        <v>30</v>
      </c>
      <c r="K8" s="99">
        <v>28</v>
      </c>
      <c r="L8" s="99">
        <v>20</v>
      </c>
      <c r="M8" s="100">
        <v>0.84</v>
      </c>
      <c r="N8" s="103">
        <v>20</v>
      </c>
      <c r="O8" s="64">
        <v>7000</v>
      </c>
      <c r="P8" s="65">
        <f>Table224578910112357[[#This Row],[PEMBULATAN]]*O8</f>
        <v>140000</v>
      </c>
    </row>
    <row r="9" spans="1:16" ht="24" customHeight="1" x14ac:dyDescent="0.2">
      <c r="A9" s="14"/>
      <c r="B9" s="75"/>
      <c r="C9" s="96" t="s">
        <v>151</v>
      </c>
      <c r="D9" s="97" t="s">
        <v>99</v>
      </c>
      <c r="E9" s="101" t="s">
        <v>157</v>
      </c>
      <c r="F9" s="102" t="s">
        <v>135</v>
      </c>
      <c r="G9" s="101" t="s">
        <v>136</v>
      </c>
      <c r="H9" s="98" t="s">
        <v>137</v>
      </c>
      <c r="I9" s="99">
        <v>3</v>
      </c>
      <c r="J9" s="99">
        <v>52</v>
      </c>
      <c r="K9" s="99">
        <v>40</v>
      </c>
      <c r="L9" s="99">
        <v>41</v>
      </c>
      <c r="M9" s="100">
        <v>1.56</v>
      </c>
      <c r="N9" s="103">
        <v>41</v>
      </c>
      <c r="O9" s="64">
        <v>7000</v>
      </c>
      <c r="P9" s="65">
        <f>Table224578910112357[[#This Row],[PEMBULATAN]]*O9</f>
        <v>287000</v>
      </c>
    </row>
    <row r="10" spans="1:16" ht="24" customHeight="1" x14ac:dyDescent="0.2">
      <c r="A10" s="14"/>
      <c r="B10" s="75"/>
      <c r="C10" s="96" t="s">
        <v>152</v>
      </c>
      <c r="D10" s="97" t="s">
        <v>99</v>
      </c>
      <c r="E10" s="101" t="s">
        <v>157</v>
      </c>
      <c r="F10" s="102" t="s">
        <v>135</v>
      </c>
      <c r="G10" s="101" t="s">
        <v>136</v>
      </c>
      <c r="H10" s="98" t="s">
        <v>137</v>
      </c>
      <c r="I10" s="99">
        <v>4</v>
      </c>
      <c r="J10" s="99">
        <v>49</v>
      </c>
      <c r="K10" s="99">
        <v>30</v>
      </c>
      <c r="L10" s="99">
        <v>24</v>
      </c>
      <c r="M10" s="100">
        <v>1.47</v>
      </c>
      <c r="N10" s="103">
        <v>24</v>
      </c>
      <c r="O10" s="64">
        <v>7000</v>
      </c>
      <c r="P10" s="65">
        <f>Table224578910112357[[#This Row],[PEMBULATAN]]*O10</f>
        <v>168000</v>
      </c>
    </row>
    <row r="11" spans="1:16" ht="24" customHeight="1" x14ac:dyDescent="0.2">
      <c r="A11" s="14"/>
      <c r="B11" s="75"/>
      <c r="C11" s="96" t="s">
        <v>153</v>
      </c>
      <c r="D11" s="97" t="s">
        <v>99</v>
      </c>
      <c r="E11" s="101" t="s">
        <v>157</v>
      </c>
      <c r="F11" s="102" t="s">
        <v>135</v>
      </c>
      <c r="G11" s="101" t="s">
        <v>136</v>
      </c>
      <c r="H11" s="98" t="s">
        <v>137</v>
      </c>
      <c r="I11" s="99">
        <v>13</v>
      </c>
      <c r="J11" s="99">
        <v>90</v>
      </c>
      <c r="K11" s="99">
        <v>46</v>
      </c>
      <c r="L11" s="99">
        <v>48</v>
      </c>
      <c r="M11" s="100">
        <v>13.455</v>
      </c>
      <c r="N11" s="103">
        <v>48</v>
      </c>
      <c r="O11" s="64">
        <v>7000</v>
      </c>
      <c r="P11" s="65">
        <f>Table224578910112357[[#This Row],[PEMBULATAN]]*O11</f>
        <v>336000</v>
      </c>
    </row>
    <row r="12" spans="1:16" ht="24" customHeight="1" x14ac:dyDescent="0.2">
      <c r="A12" s="14"/>
      <c r="B12" s="75"/>
      <c r="C12" s="96" t="s">
        <v>154</v>
      </c>
      <c r="D12" s="97" t="s">
        <v>99</v>
      </c>
      <c r="E12" s="101" t="s">
        <v>157</v>
      </c>
      <c r="F12" s="102" t="s">
        <v>135</v>
      </c>
      <c r="G12" s="101" t="s">
        <v>136</v>
      </c>
      <c r="H12" s="98" t="s">
        <v>137</v>
      </c>
      <c r="I12" s="99">
        <v>26</v>
      </c>
      <c r="J12" s="99">
        <v>102</v>
      </c>
      <c r="K12" s="99">
        <v>56</v>
      </c>
      <c r="L12" s="99">
        <v>60</v>
      </c>
      <c r="M12" s="100">
        <v>37.128</v>
      </c>
      <c r="N12" s="103">
        <v>60</v>
      </c>
      <c r="O12" s="64">
        <v>7000</v>
      </c>
      <c r="P12" s="65">
        <f>Table224578910112357[[#This Row],[PEMBULATAN]]*O12</f>
        <v>420000</v>
      </c>
    </row>
    <row r="13" spans="1:16" ht="24" customHeight="1" x14ac:dyDescent="0.2">
      <c r="A13" s="14"/>
      <c r="B13" s="75"/>
      <c r="C13" s="96" t="s">
        <v>155</v>
      </c>
      <c r="D13" s="97" t="s">
        <v>99</v>
      </c>
      <c r="E13" s="101" t="s">
        <v>157</v>
      </c>
      <c r="F13" s="102" t="s">
        <v>135</v>
      </c>
      <c r="G13" s="101" t="s">
        <v>136</v>
      </c>
      <c r="H13" s="98" t="s">
        <v>137</v>
      </c>
      <c r="I13" s="99">
        <v>13</v>
      </c>
      <c r="J13" s="99">
        <v>152</v>
      </c>
      <c r="K13" s="99">
        <v>66</v>
      </c>
      <c r="L13" s="99">
        <v>9</v>
      </c>
      <c r="M13" s="100">
        <v>32.603999999999999</v>
      </c>
      <c r="N13" s="105">
        <v>32.603999999999999</v>
      </c>
      <c r="O13" s="64">
        <v>7000</v>
      </c>
      <c r="P13" s="65">
        <f>Table224578910112357[[#This Row],[PEMBULATAN]]*O13</f>
        <v>228228</v>
      </c>
    </row>
    <row r="14" spans="1:16" ht="24" customHeight="1" x14ac:dyDescent="0.2">
      <c r="A14" s="14"/>
      <c r="B14" s="75"/>
      <c r="C14" s="96" t="s">
        <v>156</v>
      </c>
      <c r="D14" s="97" t="s">
        <v>99</v>
      </c>
      <c r="E14" s="101" t="s">
        <v>157</v>
      </c>
      <c r="F14" s="102" t="s">
        <v>135</v>
      </c>
      <c r="G14" s="101" t="s">
        <v>136</v>
      </c>
      <c r="H14" s="98" t="s">
        <v>137</v>
      </c>
      <c r="I14" s="99">
        <v>13</v>
      </c>
      <c r="J14" s="99">
        <v>152</v>
      </c>
      <c r="K14" s="99">
        <v>66</v>
      </c>
      <c r="L14" s="99">
        <v>9</v>
      </c>
      <c r="M14" s="100">
        <v>32.603999999999999</v>
      </c>
      <c r="N14" s="105">
        <v>32.603999999999999</v>
      </c>
      <c r="O14" s="64">
        <v>7000</v>
      </c>
      <c r="P14" s="65">
        <f>Table224578910112357[[#This Row],[PEMBULATAN]]*O14</f>
        <v>228228</v>
      </c>
    </row>
    <row r="15" spans="1:16" ht="22.5" customHeight="1" x14ac:dyDescent="0.2">
      <c r="A15" s="134" t="s">
        <v>30</v>
      </c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6"/>
      <c r="M15" s="78">
        <f>SUBTOTAL(109,Table224578910112357[KG VOLUME])</f>
        <v>170.86500000000001</v>
      </c>
      <c r="N15" s="68">
        <f>SUM(N3:N14)</f>
        <v>367.20799999999997</v>
      </c>
      <c r="O15" s="137">
        <f>SUM(P3:P14)</f>
        <v>2570456</v>
      </c>
      <c r="P15" s="138"/>
    </row>
    <row r="16" spans="1:16" ht="18" customHeight="1" x14ac:dyDescent="0.2">
      <c r="A16" s="85"/>
      <c r="B16" s="56" t="s">
        <v>42</v>
      </c>
      <c r="C16" s="55"/>
      <c r="D16" s="57" t="s">
        <v>43</v>
      </c>
      <c r="E16" s="85"/>
      <c r="F16" s="85"/>
      <c r="G16" s="85"/>
      <c r="H16" s="85"/>
      <c r="I16" s="85"/>
      <c r="J16" s="85"/>
      <c r="K16" s="85"/>
      <c r="L16" s="85"/>
      <c r="M16" s="86"/>
      <c r="N16" s="87" t="s">
        <v>51</v>
      </c>
      <c r="O16" s="88"/>
      <c r="P16" s="88">
        <f>O15*10%</f>
        <v>257045.6</v>
      </c>
    </row>
    <row r="17" spans="1:16" ht="18" customHeight="1" thickBot="1" x14ac:dyDescent="0.25">
      <c r="A17" s="85"/>
      <c r="B17" s="56"/>
      <c r="C17" s="55"/>
      <c r="D17" s="57"/>
      <c r="E17" s="85"/>
      <c r="F17" s="85"/>
      <c r="G17" s="85"/>
      <c r="H17" s="85"/>
      <c r="I17" s="85"/>
      <c r="J17" s="85"/>
      <c r="K17" s="85"/>
      <c r="L17" s="85"/>
      <c r="M17" s="86"/>
      <c r="N17" s="89" t="s">
        <v>52</v>
      </c>
      <c r="O17" s="90"/>
      <c r="P17" s="90">
        <f>O15-P16</f>
        <v>2313410.4</v>
      </c>
    </row>
    <row r="18" spans="1:16" ht="18" customHeight="1" x14ac:dyDescent="0.2">
      <c r="A18" s="11"/>
      <c r="H18" s="63"/>
      <c r="N18" s="62" t="s">
        <v>31</v>
      </c>
      <c r="P18" s="69">
        <f>P17*1%</f>
        <v>23134.103999999999</v>
      </c>
    </row>
    <row r="19" spans="1:16" ht="18" customHeight="1" thickBot="1" x14ac:dyDescent="0.25">
      <c r="A19" s="11"/>
      <c r="H19" s="63"/>
      <c r="N19" s="62" t="s">
        <v>53</v>
      </c>
      <c r="P19" s="71">
        <f>P17*2%</f>
        <v>46268.207999999999</v>
      </c>
    </row>
    <row r="20" spans="1:16" ht="18" customHeight="1" x14ac:dyDescent="0.2">
      <c r="A20" s="11"/>
      <c r="H20" s="63"/>
      <c r="N20" s="66" t="s">
        <v>32</v>
      </c>
      <c r="O20" s="67"/>
      <c r="P20" s="70">
        <f>P17+P18-P19</f>
        <v>2290276.2959999996</v>
      </c>
    </row>
    <row r="22" spans="1:16" x14ac:dyDescent="0.2">
      <c r="A22" s="11"/>
      <c r="H22" s="63"/>
      <c r="P22" s="71"/>
    </row>
    <row r="23" spans="1:16" x14ac:dyDescent="0.2">
      <c r="A23" s="11"/>
      <c r="H23" s="63"/>
      <c r="O23" s="58"/>
      <c r="P23" s="71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</sheetData>
  <mergeCells count="2">
    <mergeCell ref="A15:L15"/>
    <mergeCell ref="O15:P15"/>
  </mergeCells>
  <conditionalFormatting sqref="B3:B14">
    <cfRule type="duplicateValues" dxfId="97" priority="34"/>
  </conditionalFormatting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6"/>
  <sheetViews>
    <sheetView topLeftCell="A23" workbookViewId="0">
      <selection activeCell="M41" sqref="M4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6.140625" style="3" customWidth="1"/>
    <col min="5" max="5" width="8" style="12" customWidth="1"/>
    <col min="6" max="6" width="13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3.25" customHeight="1" x14ac:dyDescent="0.2">
      <c r="A3" s="82">
        <v>402434</v>
      </c>
      <c r="B3" s="118" t="s">
        <v>158</v>
      </c>
      <c r="C3" s="9" t="s">
        <v>159</v>
      </c>
      <c r="D3" s="76" t="s">
        <v>99</v>
      </c>
      <c r="E3" s="13" t="s">
        <v>136</v>
      </c>
      <c r="F3" s="76" t="s">
        <v>100</v>
      </c>
      <c r="G3" s="13">
        <v>44498</v>
      </c>
      <c r="H3" s="10" t="s">
        <v>183</v>
      </c>
      <c r="I3" s="1">
        <v>61</v>
      </c>
      <c r="J3" s="1">
        <v>40</v>
      </c>
      <c r="K3" s="1">
        <v>76</v>
      </c>
      <c r="L3" s="1">
        <v>31</v>
      </c>
      <c r="M3" s="79">
        <v>46.36</v>
      </c>
      <c r="N3" s="8">
        <v>47</v>
      </c>
      <c r="O3" s="64">
        <v>7000</v>
      </c>
      <c r="P3" s="65">
        <f>Table224578910112358[[#This Row],[PEMBULATAN]]*O3</f>
        <v>329000</v>
      </c>
    </row>
    <row r="4" spans="1:16" ht="23.25" customHeight="1" x14ac:dyDescent="0.2">
      <c r="A4" s="14"/>
      <c r="B4" s="75" t="s">
        <v>160</v>
      </c>
      <c r="C4" s="96" t="s">
        <v>161</v>
      </c>
      <c r="D4" s="97" t="s">
        <v>99</v>
      </c>
      <c r="E4" s="101" t="s">
        <v>136</v>
      </c>
      <c r="F4" s="102" t="s">
        <v>100</v>
      </c>
      <c r="G4" s="101">
        <v>44498</v>
      </c>
      <c r="H4" s="98" t="s">
        <v>183</v>
      </c>
      <c r="I4" s="99">
        <v>43</v>
      </c>
      <c r="J4" s="99">
        <v>24</v>
      </c>
      <c r="K4" s="99">
        <v>30</v>
      </c>
      <c r="L4" s="99">
        <v>9</v>
      </c>
      <c r="M4" s="100">
        <v>7.74</v>
      </c>
      <c r="N4" s="103">
        <v>9</v>
      </c>
      <c r="O4" s="64">
        <v>7000</v>
      </c>
      <c r="P4" s="65">
        <f>Table224578910112358[[#This Row],[PEMBULATAN]]*O4</f>
        <v>63000</v>
      </c>
    </row>
    <row r="5" spans="1:16" ht="23.25" customHeight="1" x14ac:dyDescent="0.2">
      <c r="A5" s="14"/>
      <c r="B5" s="75"/>
      <c r="C5" s="96" t="s">
        <v>162</v>
      </c>
      <c r="D5" s="97" t="s">
        <v>99</v>
      </c>
      <c r="E5" s="101" t="s">
        <v>136</v>
      </c>
      <c r="F5" s="102" t="s">
        <v>100</v>
      </c>
      <c r="G5" s="101">
        <v>44498</v>
      </c>
      <c r="H5" s="98" t="s">
        <v>183</v>
      </c>
      <c r="I5" s="99">
        <v>56</v>
      </c>
      <c r="J5" s="99">
        <v>34</v>
      </c>
      <c r="K5" s="99">
        <v>9</v>
      </c>
      <c r="L5" s="99">
        <v>10</v>
      </c>
      <c r="M5" s="100">
        <v>4.2839999999999998</v>
      </c>
      <c r="N5" s="103">
        <v>10</v>
      </c>
      <c r="O5" s="64">
        <v>7000</v>
      </c>
      <c r="P5" s="65">
        <f>Table224578910112358[[#This Row],[PEMBULATAN]]*O5</f>
        <v>70000</v>
      </c>
    </row>
    <row r="6" spans="1:16" ht="23.25" customHeight="1" x14ac:dyDescent="0.2">
      <c r="A6" s="14"/>
      <c r="B6" s="75"/>
      <c r="C6" s="96" t="s">
        <v>163</v>
      </c>
      <c r="D6" s="97" t="s">
        <v>99</v>
      </c>
      <c r="E6" s="101" t="s">
        <v>136</v>
      </c>
      <c r="F6" s="102" t="s">
        <v>100</v>
      </c>
      <c r="G6" s="101">
        <v>44498</v>
      </c>
      <c r="H6" s="98" t="s">
        <v>183</v>
      </c>
      <c r="I6" s="99">
        <v>42</v>
      </c>
      <c r="J6" s="99">
        <v>33</v>
      </c>
      <c r="K6" s="99">
        <v>29</v>
      </c>
      <c r="L6" s="99">
        <v>9</v>
      </c>
      <c r="M6" s="100">
        <v>10.048500000000001</v>
      </c>
      <c r="N6" s="105">
        <v>10.048500000000001</v>
      </c>
      <c r="O6" s="64">
        <v>7000</v>
      </c>
      <c r="P6" s="65">
        <f>Table224578910112358[[#This Row],[PEMBULATAN]]*O6</f>
        <v>70339.5</v>
      </c>
    </row>
    <row r="7" spans="1:16" ht="23.25" customHeight="1" x14ac:dyDescent="0.2">
      <c r="A7" s="14"/>
      <c r="B7" s="75"/>
      <c r="C7" s="96" t="s">
        <v>164</v>
      </c>
      <c r="D7" s="97" t="s">
        <v>99</v>
      </c>
      <c r="E7" s="101" t="s">
        <v>136</v>
      </c>
      <c r="F7" s="102" t="s">
        <v>100</v>
      </c>
      <c r="G7" s="101">
        <v>44498</v>
      </c>
      <c r="H7" s="98" t="s">
        <v>183</v>
      </c>
      <c r="I7" s="99">
        <v>42</v>
      </c>
      <c r="J7" s="99">
        <v>33</v>
      </c>
      <c r="K7" s="99">
        <v>29</v>
      </c>
      <c r="L7" s="99">
        <v>9</v>
      </c>
      <c r="M7" s="100">
        <v>10.048500000000001</v>
      </c>
      <c r="N7" s="105">
        <v>10.048500000000001</v>
      </c>
      <c r="O7" s="64">
        <v>7000</v>
      </c>
      <c r="P7" s="65">
        <f>Table224578910112358[[#This Row],[PEMBULATAN]]*O7</f>
        <v>70339.5</v>
      </c>
    </row>
    <row r="8" spans="1:16" ht="23.25" customHeight="1" x14ac:dyDescent="0.2">
      <c r="A8" s="14"/>
      <c r="B8" s="75"/>
      <c r="C8" s="96" t="s">
        <v>165</v>
      </c>
      <c r="D8" s="97" t="s">
        <v>99</v>
      </c>
      <c r="E8" s="101" t="s">
        <v>136</v>
      </c>
      <c r="F8" s="102" t="s">
        <v>100</v>
      </c>
      <c r="G8" s="101">
        <v>44498</v>
      </c>
      <c r="H8" s="98" t="s">
        <v>183</v>
      </c>
      <c r="I8" s="99">
        <v>56</v>
      </c>
      <c r="J8" s="99">
        <v>34</v>
      </c>
      <c r="K8" s="99">
        <v>9</v>
      </c>
      <c r="L8" s="99">
        <v>10</v>
      </c>
      <c r="M8" s="100">
        <v>4.2839999999999998</v>
      </c>
      <c r="N8" s="105">
        <v>10</v>
      </c>
      <c r="O8" s="64">
        <v>7000</v>
      </c>
      <c r="P8" s="65">
        <f>Table224578910112358[[#This Row],[PEMBULATAN]]*O8</f>
        <v>70000</v>
      </c>
    </row>
    <row r="9" spans="1:16" ht="23.25" customHeight="1" x14ac:dyDescent="0.2">
      <c r="A9" s="14"/>
      <c r="B9" s="75"/>
      <c r="C9" s="96" t="s">
        <v>166</v>
      </c>
      <c r="D9" s="97" t="s">
        <v>99</v>
      </c>
      <c r="E9" s="101" t="s">
        <v>136</v>
      </c>
      <c r="F9" s="102" t="s">
        <v>100</v>
      </c>
      <c r="G9" s="101">
        <v>44498</v>
      </c>
      <c r="H9" s="98" t="s">
        <v>183</v>
      </c>
      <c r="I9" s="99">
        <v>42</v>
      </c>
      <c r="J9" s="99">
        <v>25</v>
      </c>
      <c r="K9" s="99">
        <v>12</v>
      </c>
      <c r="L9" s="99">
        <v>3</v>
      </c>
      <c r="M9" s="100">
        <v>3.15</v>
      </c>
      <c r="N9" s="105">
        <v>3.15</v>
      </c>
      <c r="O9" s="64">
        <v>7000</v>
      </c>
      <c r="P9" s="65">
        <f>Table224578910112358[[#This Row],[PEMBULATAN]]*O9</f>
        <v>22050</v>
      </c>
    </row>
    <row r="10" spans="1:16" ht="23.25" customHeight="1" x14ac:dyDescent="0.2">
      <c r="A10" s="14"/>
      <c r="B10" s="75"/>
      <c r="C10" s="96" t="s">
        <v>167</v>
      </c>
      <c r="D10" s="97" t="s">
        <v>99</v>
      </c>
      <c r="E10" s="101" t="s">
        <v>136</v>
      </c>
      <c r="F10" s="102" t="s">
        <v>100</v>
      </c>
      <c r="G10" s="101">
        <v>44498</v>
      </c>
      <c r="H10" s="98" t="s">
        <v>183</v>
      </c>
      <c r="I10" s="99">
        <v>45</v>
      </c>
      <c r="J10" s="99">
        <v>38</v>
      </c>
      <c r="K10" s="99">
        <v>12</v>
      </c>
      <c r="L10" s="99">
        <v>3</v>
      </c>
      <c r="M10" s="100">
        <v>5.13</v>
      </c>
      <c r="N10" s="105">
        <v>5.13</v>
      </c>
      <c r="O10" s="64">
        <v>7000</v>
      </c>
      <c r="P10" s="65">
        <f>Table224578910112358[[#This Row],[PEMBULATAN]]*O10</f>
        <v>35910</v>
      </c>
    </row>
    <row r="11" spans="1:16" ht="23.25" customHeight="1" x14ac:dyDescent="0.2">
      <c r="A11" s="14"/>
      <c r="B11" s="75"/>
      <c r="C11" s="96" t="s">
        <v>168</v>
      </c>
      <c r="D11" s="97" t="s">
        <v>99</v>
      </c>
      <c r="E11" s="101" t="s">
        <v>136</v>
      </c>
      <c r="F11" s="102" t="s">
        <v>100</v>
      </c>
      <c r="G11" s="101">
        <v>44498</v>
      </c>
      <c r="H11" s="98" t="s">
        <v>183</v>
      </c>
      <c r="I11" s="99">
        <v>43</v>
      </c>
      <c r="J11" s="99">
        <v>24</v>
      </c>
      <c r="K11" s="99">
        <v>30</v>
      </c>
      <c r="L11" s="99">
        <v>9</v>
      </c>
      <c r="M11" s="100">
        <v>7.74</v>
      </c>
      <c r="N11" s="105">
        <v>9</v>
      </c>
      <c r="O11" s="64">
        <v>7000</v>
      </c>
      <c r="P11" s="65">
        <f>Table224578910112358[[#This Row],[PEMBULATAN]]*O11</f>
        <v>63000</v>
      </c>
    </row>
    <row r="12" spans="1:16" ht="23.25" customHeight="1" x14ac:dyDescent="0.2">
      <c r="A12" s="14"/>
      <c r="B12" s="75"/>
      <c r="C12" s="96" t="s">
        <v>169</v>
      </c>
      <c r="D12" s="97" t="s">
        <v>99</v>
      </c>
      <c r="E12" s="101" t="s">
        <v>136</v>
      </c>
      <c r="F12" s="102" t="s">
        <v>100</v>
      </c>
      <c r="G12" s="101">
        <v>44498</v>
      </c>
      <c r="H12" s="98" t="s">
        <v>183</v>
      </c>
      <c r="I12" s="99">
        <v>61</v>
      </c>
      <c r="J12" s="99">
        <v>40</v>
      </c>
      <c r="K12" s="99">
        <v>76</v>
      </c>
      <c r="L12" s="99">
        <v>31</v>
      </c>
      <c r="M12" s="100">
        <v>46.36</v>
      </c>
      <c r="N12" s="105">
        <v>47</v>
      </c>
      <c r="O12" s="64">
        <v>7000</v>
      </c>
      <c r="P12" s="65">
        <f>Table224578910112358[[#This Row],[PEMBULATAN]]*O12</f>
        <v>329000</v>
      </c>
    </row>
    <row r="13" spans="1:16" ht="23.25" customHeight="1" x14ac:dyDescent="0.2">
      <c r="A13" s="14"/>
      <c r="B13" s="75"/>
      <c r="C13" s="96" t="s">
        <v>170</v>
      </c>
      <c r="D13" s="97" t="s">
        <v>99</v>
      </c>
      <c r="E13" s="101" t="s">
        <v>136</v>
      </c>
      <c r="F13" s="102" t="s">
        <v>100</v>
      </c>
      <c r="G13" s="101">
        <v>44498</v>
      </c>
      <c r="H13" s="98" t="s">
        <v>183</v>
      </c>
      <c r="I13" s="99">
        <v>61</v>
      </c>
      <c r="J13" s="99">
        <v>40</v>
      </c>
      <c r="K13" s="99">
        <v>76</v>
      </c>
      <c r="L13" s="99">
        <v>31</v>
      </c>
      <c r="M13" s="100">
        <v>46.36</v>
      </c>
      <c r="N13" s="105">
        <v>47</v>
      </c>
      <c r="O13" s="64">
        <v>7000</v>
      </c>
      <c r="P13" s="65">
        <f>Table224578910112358[[#This Row],[PEMBULATAN]]*O13</f>
        <v>329000</v>
      </c>
    </row>
    <row r="14" spans="1:16" ht="23.25" customHeight="1" x14ac:dyDescent="0.2">
      <c r="A14" s="14"/>
      <c r="B14" s="75"/>
      <c r="C14" s="96" t="s">
        <v>171</v>
      </c>
      <c r="D14" s="97" t="s">
        <v>99</v>
      </c>
      <c r="E14" s="101" t="s">
        <v>136</v>
      </c>
      <c r="F14" s="102" t="s">
        <v>100</v>
      </c>
      <c r="G14" s="101">
        <v>44498</v>
      </c>
      <c r="H14" s="98" t="s">
        <v>183</v>
      </c>
      <c r="I14" s="99">
        <v>61</v>
      </c>
      <c r="J14" s="99">
        <v>40</v>
      </c>
      <c r="K14" s="99">
        <v>76</v>
      </c>
      <c r="L14" s="99">
        <v>31</v>
      </c>
      <c r="M14" s="100">
        <v>46.36</v>
      </c>
      <c r="N14" s="105">
        <v>47</v>
      </c>
      <c r="O14" s="64">
        <v>7000</v>
      </c>
      <c r="P14" s="65">
        <f>Table224578910112358[[#This Row],[PEMBULATAN]]*O14</f>
        <v>329000</v>
      </c>
    </row>
    <row r="15" spans="1:16" ht="23.25" customHeight="1" x14ac:dyDescent="0.2">
      <c r="A15" s="14"/>
      <c r="B15" s="75"/>
      <c r="C15" s="96" t="s">
        <v>172</v>
      </c>
      <c r="D15" s="97" t="s">
        <v>99</v>
      </c>
      <c r="E15" s="101" t="s">
        <v>136</v>
      </c>
      <c r="F15" s="102" t="s">
        <v>100</v>
      </c>
      <c r="G15" s="101">
        <v>44498</v>
      </c>
      <c r="H15" s="98" t="s">
        <v>183</v>
      </c>
      <c r="I15" s="99">
        <v>61</v>
      </c>
      <c r="J15" s="99">
        <v>40</v>
      </c>
      <c r="K15" s="99">
        <v>76</v>
      </c>
      <c r="L15" s="99">
        <v>31</v>
      </c>
      <c r="M15" s="100">
        <v>46.36</v>
      </c>
      <c r="N15" s="105">
        <v>47</v>
      </c>
      <c r="O15" s="64">
        <v>7000</v>
      </c>
      <c r="P15" s="65">
        <f>Table224578910112358[[#This Row],[PEMBULATAN]]*O15</f>
        <v>329000</v>
      </c>
    </row>
    <row r="16" spans="1:16" ht="23.25" customHeight="1" x14ac:dyDescent="0.2">
      <c r="A16" s="14"/>
      <c r="B16" s="75"/>
      <c r="C16" s="96" t="s">
        <v>173</v>
      </c>
      <c r="D16" s="97" t="s">
        <v>99</v>
      </c>
      <c r="E16" s="101" t="s">
        <v>136</v>
      </c>
      <c r="F16" s="102" t="s">
        <v>100</v>
      </c>
      <c r="G16" s="101">
        <v>44498</v>
      </c>
      <c r="H16" s="98" t="s">
        <v>183</v>
      </c>
      <c r="I16" s="99">
        <v>61</v>
      </c>
      <c r="J16" s="99">
        <v>40</v>
      </c>
      <c r="K16" s="99">
        <v>76</v>
      </c>
      <c r="L16" s="99">
        <v>31</v>
      </c>
      <c r="M16" s="100">
        <v>46.36</v>
      </c>
      <c r="N16" s="105">
        <v>47</v>
      </c>
      <c r="O16" s="64">
        <v>7000</v>
      </c>
      <c r="P16" s="65">
        <f>Table224578910112358[[#This Row],[PEMBULATAN]]*O16</f>
        <v>329000</v>
      </c>
    </row>
    <row r="17" spans="1:16" ht="23.25" customHeight="1" x14ac:dyDescent="0.2">
      <c r="A17" s="14"/>
      <c r="B17" s="75"/>
      <c r="C17" s="96" t="s">
        <v>174</v>
      </c>
      <c r="D17" s="97" t="s">
        <v>99</v>
      </c>
      <c r="E17" s="101" t="s">
        <v>136</v>
      </c>
      <c r="F17" s="102" t="s">
        <v>100</v>
      </c>
      <c r="G17" s="101">
        <v>44498</v>
      </c>
      <c r="H17" s="98" t="s">
        <v>183</v>
      </c>
      <c r="I17" s="99">
        <v>61</v>
      </c>
      <c r="J17" s="99">
        <v>40</v>
      </c>
      <c r="K17" s="99">
        <v>76</v>
      </c>
      <c r="L17" s="99">
        <v>31</v>
      </c>
      <c r="M17" s="100">
        <v>46.36</v>
      </c>
      <c r="N17" s="105">
        <v>47</v>
      </c>
      <c r="O17" s="64">
        <v>7000</v>
      </c>
      <c r="P17" s="65">
        <f>Table224578910112358[[#This Row],[PEMBULATAN]]*O17</f>
        <v>329000</v>
      </c>
    </row>
    <row r="18" spans="1:16" ht="23.25" customHeight="1" x14ac:dyDescent="0.2">
      <c r="A18" s="14"/>
      <c r="B18" s="75"/>
      <c r="C18" s="96" t="s">
        <v>175</v>
      </c>
      <c r="D18" s="97" t="s">
        <v>99</v>
      </c>
      <c r="E18" s="101" t="s">
        <v>136</v>
      </c>
      <c r="F18" s="102" t="s">
        <v>100</v>
      </c>
      <c r="G18" s="101">
        <v>44498</v>
      </c>
      <c r="H18" s="98" t="s">
        <v>183</v>
      </c>
      <c r="I18" s="99">
        <v>61</v>
      </c>
      <c r="J18" s="99">
        <v>40</v>
      </c>
      <c r="K18" s="99">
        <v>76</v>
      </c>
      <c r="L18" s="99">
        <v>31</v>
      </c>
      <c r="M18" s="100">
        <v>46.36</v>
      </c>
      <c r="N18" s="105">
        <v>47</v>
      </c>
      <c r="O18" s="64">
        <v>7000</v>
      </c>
      <c r="P18" s="65">
        <f>Table224578910112358[[#This Row],[PEMBULATAN]]*O18</f>
        <v>329000</v>
      </c>
    </row>
    <row r="19" spans="1:16" ht="23.25" customHeight="1" x14ac:dyDescent="0.2">
      <c r="A19" s="14"/>
      <c r="B19" s="75"/>
      <c r="C19" s="96" t="s">
        <v>176</v>
      </c>
      <c r="D19" s="97" t="s">
        <v>99</v>
      </c>
      <c r="E19" s="101" t="s">
        <v>136</v>
      </c>
      <c r="F19" s="102" t="s">
        <v>100</v>
      </c>
      <c r="G19" s="101">
        <v>44498</v>
      </c>
      <c r="H19" s="98" t="s">
        <v>183</v>
      </c>
      <c r="I19" s="99">
        <v>61</v>
      </c>
      <c r="J19" s="99">
        <v>40</v>
      </c>
      <c r="K19" s="99">
        <v>76</v>
      </c>
      <c r="L19" s="99">
        <v>31</v>
      </c>
      <c r="M19" s="100">
        <v>46.36</v>
      </c>
      <c r="N19" s="105">
        <v>47</v>
      </c>
      <c r="O19" s="64">
        <v>7000</v>
      </c>
      <c r="P19" s="65">
        <f>Table224578910112358[[#This Row],[PEMBULATAN]]*O19</f>
        <v>329000</v>
      </c>
    </row>
    <row r="20" spans="1:16" ht="23.25" customHeight="1" x14ac:dyDescent="0.2">
      <c r="A20" s="14"/>
      <c r="B20" s="75"/>
      <c r="C20" s="96" t="s">
        <v>177</v>
      </c>
      <c r="D20" s="97" t="s">
        <v>99</v>
      </c>
      <c r="E20" s="101" t="s">
        <v>136</v>
      </c>
      <c r="F20" s="102" t="s">
        <v>100</v>
      </c>
      <c r="G20" s="101">
        <v>44498</v>
      </c>
      <c r="H20" s="98" t="s">
        <v>183</v>
      </c>
      <c r="I20" s="99">
        <v>42</v>
      </c>
      <c r="J20" s="99">
        <v>33</v>
      </c>
      <c r="K20" s="99">
        <v>29</v>
      </c>
      <c r="L20" s="99">
        <v>9</v>
      </c>
      <c r="M20" s="100">
        <v>10.048500000000001</v>
      </c>
      <c r="N20" s="105">
        <v>10.048500000000001</v>
      </c>
      <c r="O20" s="64">
        <v>7000</v>
      </c>
      <c r="P20" s="65">
        <f>Table224578910112358[[#This Row],[PEMBULATAN]]*O20</f>
        <v>70339.5</v>
      </c>
    </row>
    <row r="21" spans="1:16" ht="23.25" customHeight="1" x14ac:dyDescent="0.2">
      <c r="A21" s="14"/>
      <c r="B21" s="75"/>
      <c r="C21" s="96" t="s">
        <v>178</v>
      </c>
      <c r="D21" s="97" t="s">
        <v>99</v>
      </c>
      <c r="E21" s="101" t="s">
        <v>136</v>
      </c>
      <c r="F21" s="102" t="s">
        <v>100</v>
      </c>
      <c r="G21" s="101">
        <v>44498</v>
      </c>
      <c r="H21" s="98" t="s">
        <v>183</v>
      </c>
      <c r="I21" s="99">
        <v>24</v>
      </c>
      <c r="J21" s="99">
        <v>20</v>
      </c>
      <c r="K21" s="99">
        <v>12</v>
      </c>
      <c r="L21" s="99">
        <v>3</v>
      </c>
      <c r="M21" s="100">
        <v>1.44</v>
      </c>
      <c r="N21" s="103">
        <v>3</v>
      </c>
      <c r="O21" s="64">
        <v>7000</v>
      </c>
      <c r="P21" s="65">
        <f>Table224578910112358[[#This Row],[PEMBULATAN]]*O21</f>
        <v>21000</v>
      </c>
    </row>
    <row r="22" spans="1:16" ht="23.25" customHeight="1" x14ac:dyDescent="0.2">
      <c r="A22" s="14"/>
      <c r="B22" s="75"/>
      <c r="C22" s="96" t="s">
        <v>179</v>
      </c>
      <c r="D22" s="97" t="s">
        <v>99</v>
      </c>
      <c r="E22" s="101" t="s">
        <v>136</v>
      </c>
      <c r="F22" s="102" t="s">
        <v>100</v>
      </c>
      <c r="G22" s="101">
        <v>44498</v>
      </c>
      <c r="H22" s="98" t="s">
        <v>183</v>
      </c>
      <c r="I22" s="99">
        <v>61</v>
      </c>
      <c r="J22" s="99">
        <v>40</v>
      </c>
      <c r="K22" s="99">
        <v>76</v>
      </c>
      <c r="L22" s="99">
        <v>31</v>
      </c>
      <c r="M22" s="100">
        <v>46.36</v>
      </c>
      <c r="N22" s="103">
        <v>47</v>
      </c>
      <c r="O22" s="64">
        <v>7000</v>
      </c>
      <c r="P22" s="65">
        <f>Table224578910112358[[#This Row],[PEMBULATAN]]*O22</f>
        <v>329000</v>
      </c>
    </row>
    <row r="23" spans="1:16" ht="23.25" customHeight="1" x14ac:dyDescent="0.2">
      <c r="A23" s="14"/>
      <c r="B23" s="75"/>
      <c r="C23" s="96" t="s">
        <v>180</v>
      </c>
      <c r="D23" s="97" t="s">
        <v>99</v>
      </c>
      <c r="E23" s="101" t="s">
        <v>136</v>
      </c>
      <c r="F23" s="102" t="s">
        <v>100</v>
      </c>
      <c r="G23" s="101">
        <v>44498</v>
      </c>
      <c r="H23" s="98" t="s">
        <v>183</v>
      </c>
      <c r="I23" s="99">
        <v>61</v>
      </c>
      <c r="J23" s="99">
        <v>40</v>
      </c>
      <c r="K23" s="99">
        <v>76</v>
      </c>
      <c r="L23" s="99">
        <v>31</v>
      </c>
      <c r="M23" s="100">
        <v>46.36</v>
      </c>
      <c r="N23" s="103">
        <v>47</v>
      </c>
      <c r="O23" s="64">
        <v>7000</v>
      </c>
      <c r="P23" s="65">
        <f>Table224578910112358[[#This Row],[PEMBULATAN]]*O23</f>
        <v>329000</v>
      </c>
    </row>
    <row r="24" spans="1:16" ht="23.25" customHeight="1" x14ac:dyDescent="0.2">
      <c r="A24" s="14"/>
      <c r="B24" s="75"/>
      <c r="C24" s="9" t="s">
        <v>181</v>
      </c>
      <c r="D24" s="76" t="s">
        <v>99</v>
      </c>
      <c r="E24" s="13" t="s">
        <v>136</v>
      </c>
      <c r="F24" s="76" t="s">
        <v>100</v>
      </c>
      <c r="G24" s="13">
        <v>44498</v>
      </c>
      <c r="H24" s="10" t="s">
        <v>183</v>
      </c>
      <c r="I24" s="1">
        <v>61</v>
      </c>
      <c r="J24" s="1">
        <v>40</v>
      </c>
      <c r="K24" s="1">
        <v>76</v>
      </c>
      <c r="L24" s="1">
        <v>31</v>
      </c>
      <c r="M24" s="79">
        <v>46.36</v>
      </c>
      <c r="N24" s="8">
        <v>47</v>
      </c>
      <c r="O24" s="64">
        <v>7000</v>
      </c>
      <c r="P24" s="65">
        <f>Table224578910112358[[#This Row],[PEMBULATAN]]*O24</f>
        <v>329000</v>
      </c>
    </row>
    <row r="25" spans="1:16" ht="23.25" customHeight="1" x14ac:dyDescent="0.2">
      <c r="A25" s="14"/>
      <c r="B25" s="14"/>
      <c r="C25" s="9" t="s">
        <v>182</v>
      </c>
      <c r="D25" s="76" t="s">
        <v>99</v>
      </c>
      <c r="E25" s="13" t="s">
        <v>136</v>
      </c>
      <c r="F25" s="76" t="s">
        <v>100</v>
      </c>
      <c r="G25" s="13">
        <v>44498</v>
      </c>
      <c r="H25" s="10" t="s">
        <v>183</v>
      </c>
      <c r="I25" s="1">
        <v>61</v>
      </c>
      <c r="J25" s="1">
        <v>40</v>
      </c>
      <c r="K25" s="1">
        <v>76</v>
      </c>
      <c r="L25" s="1">
        <v>31</v>
      </c>
      <c r="M25" s="79">
        <v>46.36</v>
      </c>
      <c r="N25" s="8">
        <v>47</v>
      </c>
      <c r="O25" s="64">
        <v>7000</v>
      </c>
      <c r="P25" s="65">
        <f>Table224578910112358[[#This Row],[PEMBULATAN]]*O25</f>
        <v>329000</v>
      </c>
    </row>
    <row r="26" spans="1:16" ht="23.25" customHeight="1" x14ac:dyDescent="0.2">
      <c r="A26" s="134" t="s">
        <v>30</v>
      </c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6"/>
      <c r="M26" s="78">
        <f>SUBTOTAL(109,Table224578910112358[KG VOLUME])</f>
        <v>666.59350000000006</v>
      </c>
      <c r="N26" s="68">
        <f>SUM(N3:N25)</f>
        <v>690.42550000000006</v>
      </c>
      <c r="O26" s="137">
        <f>SUM(P3:P25)</f>
        <v>4832978.5</v>
      </c>
      <c r="P26" s="138"/>
    </row>
    <row r="27" spans="1:16" ht="18" customHeight="1" x14ac:dyDescent="0.2">
      <c r="A27" s="85"/>
      <c r="B27" s="56" t="s">
        <v>42</v>
      </c>
      <c r="C27" s="55"/>
      <c r="D27" s="57" t="s">
        <v>43</v>
      </c>
      <c r="E27" s="85"/>
      <c r="F27" s="85"/>
      <c r="G27" s="85"/>
      <c r="H27" s="85"/>
      <c r="I27" s="85"/>
      <c r="J27" s="85"/>
      <c r="K27" s="85"/>
      <c r="L27" s="85"/>
      <c r="M27" s="86"/>
      <c r="N27" s="87" t="s">
        <v>51</v>
      </c>
      <c r="O27" s="88"/>
      <c r="P27" s="88">
        <f>O26*10%</f>
        <v>483297.85000000003</v>
      </c>
    </row>
    <row r="28" spans="1:16" ht="18" customHeight="1" thickBot="1" x14ac:dyDescent="0.25">
      <c r="A28" s="85"/>
      <c r="B28" s="56"/>
      <c r="C28" s="55"/>
      <c r="D28" s="57"/>
      <c r="E28" s="85"/>
      <c r="F28" s="85"/>
      <c r="G28" s="85"/>
      <c r="H28" s="85"/>
      <c r="I28" s="85"/>
      <c r="J28" s="85"/>
      <c r="K28" s="85"/>
      <c r="L28" s="85"/>
      <c r="M28" s="86"/>
      <c r="N28" s="89" t="s">
        <v>52</v>
      </c>
      <c r="O28" s="90"/>
      <c r="P28" s="90">
        <f>O26-P27</f>
        <v>4349680.6500000004</v>
      </c>
    </row>
    <row r="29" spans="1:16" ht="18" customHeight="1" x14ac:dyDescent="0.2">
      <c r="A29" s="11"/>
      <c r="H29" s="63"/>
      <c r="N29" s="62" t="s">
        <v>31</v>
      </c>
      <c r="P29" s="69">
        <f>P28*1%</f>
        <v>43496.806500000006</v>
      </c>
    </row>
    <row r="30" spans="1:16" ht="18" customHeight="1" thickBot="1" x14ac:dyDescent="0.25">
      <c r="A30" s="11"/>
      <c r="H30" s="63"/>
      <c r="N30" s="62" t="s">
        <v>53</v>
      </c>
      <c r="P30" s="71">
        <f>P28*2%</f>
        <v>86993.613000000012</v>
      </c>
    </row>
    <row r="31" spans="1:16" ht="18" customHeight="1" x14ac:dyDescent="0.2">
      <c r="A31" s="11"/>
      <c r="H31" s="63"/>
      <c r="N31" s="66" t="s">
        <v>32</v>
      </c>
      <c r="O31" s="67"/>
      <c r="P31" s="70">
        <f>P28+P29-P30</f>
        <v>4306183.8435000004</v>
      </c>
    </row>
    <row r="33" spans="1:16" x14ac:dyDescent="0.2">
      <c r="A33" s="11"/>
      <c r="H33" s="63"/>
      <c r="P33" s="71"/>
    </row>
    <row r="34" spans="1:16" x14ac:dyDescent="0.2">
      <c r="A34" s="11"/>
      <c r="H34" s="63"/>
      <c r="O34" s="58"/>
      <c r="P34" s="71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</sheetData>
  <mergeCells count="2">
    <mergeCell ref="A26:L26"/>
    <mergeCell ref="O26:P26"/>
  </mergeCells>
  <conditionalFormatting sqref="B3:B23">
    <cfRule type="duplicateValues" dxfId="81" priority="2"/>
  </conditionalFormatting>
  <conditionalFormatting sqref="B24">
    <cfRule type="duplicateValues" dxfId="80" priority="1"/>
  </conditionalFormatting>
  <conditionalFormatting sqref="B25">
    <cfRule type="duplicateValues" dxfId="79" priority="3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topLeftCell="A3" workbookViewId="0">
      <selection activeCell="M11" sqref="M11"/>
    </sheetView>
  </sheetViews>
  <sheetFormatPr defaultRowHeight="15" x14ac:dyDescent="0.2"/>
  <cols>
    <col min="1" max="1" width="8" style="4" customWidth="1"/>
    <col min="2" max="2" width="20.28515625" style="2" customWidth="1"/>
    <col min="3" max="3" width="14.5703125" style="2" customWidth="1"/>
    <col min="4" max="4" width="14.42578125" style="3" customWidth="1"/>
    <col min="5" max="5" width="8" style="12" customWidth="1"/>
    <col min="6" max="6" width="13.140625" style="3" customWidth="1"/>
    <col min="7" max="7" width="9.5703125" style="3" customWidth="1"/>
    <col min="8" max="8" width="15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402439</v>
      </c>
      <c r="B3" s="74" t="s">
        <v>184</v>
      </c>
      <c r="C3" s="9" t="s">
        <v>185</v>
      </c>
      <c r="D3" s="76" t="s">
        <v>99</v>
      </c>
      <c r="E3" s="13" t="s">
        <v>196</v>
      </c>
      <c r="F3" s="76" t="s">
        <v>100</v>
      </c>
      <c r="G3" s="13">
        <v>44498</v>
      </c>
      <c r="H3" s="10" t="s">
        <v>183</v>
      </c>
      <c r="I3" s="1">
        <v>61</v>
      </c>
      <c r="J3" s="1">
        <v>41</v>
      </c>
      <c r="K3" s="1">
        <v>75</v>
      </c>
      <c r="L3" s="1">
        <v>31</v>
      </c>
      <c r="M3" s="79">
        <v>46.893749999999997</v>
      </c>
      <c r="N3" s="104">
        <v>46.893749999999997</v>
      </c>
      <c r="O3" s="64">
        <v>7000</v>
      </c>
      <c r="P3" s="65">
        <f>Table224578910112359[[#This Row],[PEMBULATAN]]*O3</f>
        <v>328256.25</v>
      </c>
    </row>
    <row r="4" spans="1:16" ht="26.25" customHeight="1" x14ac:dyDescent="0.2">
      <c r="A4" s="14"/>
      <c r="B4" s="75"/>
      <c r="C4" s="96" t="s">
        <v>186</v>
      </c>
      <c r="D4" s="97" t="s">
        <v>99</v>
      </c>
      <c r="E4" s="101" t="s">
        <v>196</v>
      </c>
      <c r="F4" s="102" t="s">
        <v>100</v>
      </c>
      <c r="G4" s="101">
        <v>44498</v>
      </c>
      <c r="H4" s="98" t="s">
        <v>183</v>
      </c>
      <c r="I4" s="99">
        <v>61</v>
      </c>
      <c r="J4" s="99">
        <v>41</v>
      </c>
      <c r="K4" s="99">
        <v>75</v>
      </c>
      <c r="L4" s="99">
        <v>31</v>
      </c>
      <c r="M4" s="100">
        <v>46.893749999999997</v>
      </c>
      <c r="N4" s="105">
        <v>46.893749999999997</v>
      </c>
      <c r="O4" s="64">
        <v>7000</v>
      </c>
      <c r="P4" s="65">
        <f>Table224578910112359[[#This Row],[PEMBULATAN]]*O4</f>
        <v>328256.25</v>
      </c>
    </row>
    <row r="5" spans="1:16" ht="26.25" customHeight="1" x14ac:dyDescent="0.2">
      <c r="A5" s="14"/>
      <c r="B5" s="75"/>
      <c r="C5" s="96" t="s">
        <v>187</v>
      </c>
      <c r="D5" s="97" t="s">
        <v>99</v>
      </c>
      <c r="E5" s="101" t="s">
        <v>196</v>
      </c>
      <c r="F5" s="102" t="s">
        <v>100</v>
      </c>
      <c r="G5" s="101">
        <v>44498</v>
      </c>
      <c r="H5" s="98" t="s">
        <v>183</v>
      </c>
      <c r="I5" s="99">
        <v>61</v>
      </c>
      <c r="J5" s="99">
        <v>41</v>
      </c>
      <c r="K5" s="99">
        <v>75</v>
      </c>
      <c r="L5" s="99">
        <v>31</v>
      </c>
      <c r="M5" s="100">
        <v>46.893749999999997</v>
      </c>
      <c r="N5" s="105">
        <v>46.893749999999997</v>
      </c>
      <c r="O5" s="64">
        <v>7000</v>
      </c>
      <c r="P5" s="65">
        <f>Table224578910112359[[#This Row],[PEMBULATAN]]*O5</f>
        <v>328256.25</v>
      </c>
    </row>
    <row r="6" spans="1:16" ht="26.25" customHeight="1" x14ac:dyDescent="0.2">
      <c r="A6" s="14"/>
      <c r="B6" s="75"/>
      <c r="C6" s="96" t="s">
        <v>188</v>
      </c>
      <c r="D6" s="97" t="s">
        <v>99</v>
      </c>
      <c r="E6" s="101" t="s">
        <v>196</v>
      </c>
      <c r="F6" s="102" t="s">
        <v>100</v>
      </c>
      <c r="G6" s="101">
        <v>44498</v>
      </c>
      <c r="H6" s="98" t="s">
        <v>183</v>
      </c>
      <c r="I6" s="99">
        <v>61</v>
      </c>
      <c r="J6" s="99">
        <v>41</v>
      </c>
      <c r="K6" s="99">
        <v>75</v>
      </c>
      <c r="L6" s="99">
        <v>31</v>
      </c>
      <c r="M6" s="100">
        <v>46.893749999999997</v>
      </c>
      <c r="N6" s="105">
        <v>46.893749999999997</v>
      </c>
      <c r="O6" s="64">
        <v>7000</v>
      </c>
      <c r="P6" s="65">
        <f>Table224578910112359[[#This Row],[PEMBULATAN]]*O6</f>
        <v>328256.25</v>
      </c>
    </row>
    <row r="7" spans="1:16" ht="26.25" customHeight="1" x14ac:dyDescent="0.2">
      <c r="A7" s="14"/>
      <c r="B7" s="75"/>
      <c r="C7" s="96" t="s">
        <v>189</v>
      </c>
      <c r="D7" s="97" t="s">
        <v>99</v>
      </c>
      <c r="E7" s="101" t="s">
        <v>196</v>
      </c>
      <c r="F7" s="102" t="s">
        <v>100</v>
      </c>
      <c r="G7" s="101">
        <v>44498</v>
      </c>
      <c r="H7" s="98" t="s">
        <v>183</v>
      </c>
      <c r="I7" s="99">
        <v>61</v>
      </c>
      <c r="J7" s="99">
        <v>41</v>
      </c>
      <c r="K7" s="99">
        <v>75</v>
      </c>
      <c r="L7" s="99">
        <v>31</v>
      </c>
      <c r="M7" s="100">
        <v>46.893749999999997</v>
      </c>
      <c r="N7" s="105">
        <v>46.893749999999997</v>
      </c>
      <c r="O7" s="64">
        <v>7000</v>
      </c>
      <c r="P7" s="65">
        <f>Table224578910112359[[#This Row],[PEMBULATAN]]*O7</f>
        <v>328256.25</v>
      </c>
    </row>
    <row r="8" spans="1:16" ht="26.25" customHeight="1" x14ac:dyDescent="0.2">
      <c r="A8" s="14"/>
      <c r="B8" s="75"/>
      <c r="C8" s="96" t="s">
        <v>190</v>
      </c>
      <c r="D8" s="97" t="s">
        <v>99</v>
      </c>
      <c r="E8" s="101" t="s">
        <v>196</v>
      </c>
      <c r="F8" s="102" t="s">
        <v>100</v>
      </c>
      <c r="G8" s="101">
        <v>44498</v>
      </c>
      <c r="H8" s="98" t="s">
        <v>183</v>
      </c>
      <c r="I8" s="99">
        <v>61</v>
      </c>
      <c r="J8" s="99">
        <v>41</v>
      </c>
      <c r="K8" s="99">
        <v>75</v>
      </c>
      <c r="L8" s="99">
        <v>31</v>
      </c>
      <c r="M8" s="100">
        <v>46.893749999999997</v>
      </c>
      <c r="N8" s="105">
        <v>46.893749999999997</v>
      </c>
      <c r="O8" s="64">
        <v>7000</v>
      </c>
      <c r="P8" s="65">
        <f>Table224578910112359[[#This Row],[PEMBULATAN]]*O8</f>
        <v>328256.25</v>
      </c>
    </row>
    <row r="9" spans="1:16" ht="26.25" customHeight="1" x14ac:dyDescent="0.2">
      <c r="A9" s="14"/>
      <c r="B9" s="75"/>
      <c r="C9" s="96" t="s">
        <v>191</v>
      </c>
      <c r="D9" s="97" t="s">
        <v>99</v>
      </c>
      <c r="E9" s="101" t="s">
        <v>196</v>
      </c>
      <c r="F9" s="102" t="s">
        <v>100</v>
      </c>
      <c r="G9" s="101">
        <v>44498</v>
      </c>
      <c r="H9" s="98" t="s">
        <v>183</v>
      </c>
      <c r="I9" s="99">
        <v>61</v>
      </c>
      <c r="J9" s="99">
        <v>41</v>
      </c>
      <c r="K9" s="99">
        <v>75</v>
      </c>
      <c r="L9" s="99">
        <v>31</v>
      </c>
      <c r="M9" s="100">
        <v>46.893749999999997</v>
      </c>
      <c r="N9" s="105">
        <v>46.893749999999997</v>
      </c>
      <c r="O9" s="64">
        <v>7000</v>
      </c>
      <c r="P9" s="65">
        <f>Table224578910112359[[#This Row],[PEMBULATAN]]*O9</f>
        <v>328256.25</v>
      </c>
    </row>
    <row r="10" spans="1:16" ht="26.25" customHeight="1" x14ac:dyDescent="0.2">
      <c r="A10" s="14"/>
      <c r="B10" s="75"/>
      <c r="C10" s="96" t="s">
        <v>192</v>
      </c>
      <c r="D10" s="97" t="s">
        <v>99</v>
      </c>
      <c r="E10" s="101" t="s">
        <v>196</v>
      </c>
      <c r="F10" s="102" t="s">
        <v>100</v>
      </c>
      <c r="G10" s="101">
        <v>44498</v>
      </c>
      <c r="H10" s="98" t="s">
        <v>183</v>
      </c>
      <c r="I10" s="99">
        <v>61</v>
      </c>
      <c r="J10" s="99">
        <v>41</v>
      </c>
      <c r="K10" s="99">
        <v>75</v>
      </c>
      <c r="L10" s="99">
        <v>31</v>
      </c>
      <c r="M10" s="100">
        <v>46.893749999999997</v>
      </c>
      <c r="N10" s="105">
        <v>46.893749999999997</v>
      </c>
      <c r="O10" s="64">
        <v>7000</v>
      </c>
      <c r="P10" s="65">
        <f>Table224578910112359[[#This Row],[PEMBULATAN]]*O10</f>
        <v>328256.25</v>
      </c>
    </row>
    <row r="11" spans="1:16" ht="26.25" customHeight="1" x14ac:dyDescent="0.2">
      <c r="A11" s="14"/>
      <c r="B11" s="75"/>
      <c r="C11" s="96" t="s">
        <v>193</v>
      </c>
      <c r="D11" s="97" t="s">
        <v>99</v>
      </c>
      <c r="E11" s="101" t="s">
        <v>196</v>
      </c>
      <c r="F11" s="102" t="s">
        <v>100</v>
      </c>
      <c r="G11" s="101">
        <v>44498</v>
      </c>
      <c r="H11" s="98" t="s">
        <v>183</v>
      </c>
      <c r="I11" s="99">
        <v>54</v>
      </c>
      <c r="J11" s="99">
        <v>57</v>
      </c>
      <c r="K11" s="99">
        <v>8</v>
      </c>
      <c r="L11" s="99">
        <v>10</v>
      </c>
      <c r="M11" s="100">
        <v>6.1559999999999997</v>
      </c>
      <c r="N11" s="103">
        <v>10</v>
      </c>
      <c r="O11" s="64">
        <v>7000</v>
      </c>
      <c r="P11" s="65">
        <f>Table224578910112359[[#This Row],[PEMBULATAN]]*O11</f>
        <v>70000</v>
      </c>
    </row>
    <row r="12" spans="1:16" ht="26.25" customHeight="1" x14ac:dyDescent="0.2">
      <c r="A12" s="14"/>
      <c r="B12" s="75"/>
      <c r="C12" s="96" t="s">
        <v>194</v>
      </c>
      <c r="D12" s="97" t="s">
        <v>99</v>
      </c>
      <c r="E12" s="101" t="s">
        <v>196</v>
      </c>
      <c r="F12" s="102" t="s">
        <v>100</v>
      </c>
      <c r="G12" s="101">
        <v>44498</v>
      </c>
      <c r="H12" s="98" t="s">
        <v>183</v>
      </c>
      <c r="I12" s="99">
        <v>54</v>
      </c>
      <c r="J12" s="99">
        <v>57</v>
      </c>
      <c r="K12" s="99">
        <v>8</v>
      </c>
      <c r="L12" s="99">
        <v>10</v>
      </c>
      <c r="M12" s="100">
        <v>6.1559999999999997</v>
      </c>
      <c r="N12" s="103">
        <v>10</v>
      </c>
      <c r="O12" s="64">
        <v>7000</v>
      </c>
      <c r="P12" s="65">
        <f>Table224578910112359[[#This Row],[PEMBULATAN]]*O12</f>
        <v>70000</v>
      </c>
    </row>
    <row r="13" spans="1:16" ht="26.25" customHeight="1" x14ac:dyDescent="0.2">
      <c r="A13" s="14"/>
      <c r="B13" s="75"/>
      <c r="C13" s="96" t="s">
        <v>195</v>
      </c>
      <c r="D13" s="97" t="s">
        <v>99</v>
      </c>
      <c r="E13" s="101" t="s">
        <v>196</v>
      </c>
      <c r="F13" s="102" t="s">
        <v>100</v>
      </c>
      <c r="G13" s="101">
        <v>44498</v>
      </c>
      <c r="H13" s="98" t="s">
        <v>183</v>
      </c>
      <c r="I13" s="99">
        <v>54</v>
      </c>
      <c r="J13" s="99">
        <v>57</v>
      </c>
      <c r="K13" s="99">
        <v>8</v>
      </c>
      <c r="L13" s="99">
        <v>10</v>
      </c>
      <c r="M13" s="100">
        <v>6.1559999999999997</v>
      </c>
      <c r="N13" s="103">
        <v>10</v>
      </c>
      <c r="O13" s="64">
        <v>7000</v>
      </c>
      <c r="P13" s="65">
        <f>Table224578910112359[[#This Row],[PEMBULATAN]]*O13</f>
        <v>70000</v>
      </c>
    </row>
    <row r="14" spans="1:16" ht="22.5" customHeight="1" x14ac:dyDescent="0.2">
      <c r="A14" s="134" t="s">
        <v>30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6"/>
      <c r="M14" s="78">
        <f>SUBTOTAL(109,Table224578910112359[KG VOLUME])</f>
        <v>393.61800000000005</v>
      </c>
      <c r="N14" s="68">
        <f>SUM(N3:N13)</f>
        <v>405.15000000000003</v>
      </c>
      <c r="O14" s="137">
        <f>SUM(P3:P13)</f>
        <v>2836050</v>
      </c>
      <c r="P14" s="138"/>
    </row>
    <row r="15" spans="1:16" ht="18" customHeight="1" x14ac:dyDescent="0.2">
      <c r="A15" s="85"/>
      <c r="B15" s="56" t="s">
        <v>42</v>
      </c>
      <c r="C15" s="55"/>
      <c r="D15" s="57" t="s">
        <v>43</v>
      </c>
      <c r="E15" s="85"/>
      <c r="F15" s="85"/>
      <c r="G15" s="85"/>
      <c r="H15" s="85"/>
      <c r="I15" s="85"/>
      <c r="J15" s="85"/>
      <c r="K15" s="85"/>
      <c r="L15" s="85"/>
      <c r="M15" s="86"/>
      <c r="N15" s="87" t="s">
        <v>51</v>
      </c>
      <c r="O15" s="88"/>
      <c r="P15" s="88">
        <f>O14*10%</f>
        <v>283605</v>
      </c>
    </row>
    <row r="16" spans="1:16" ht="18" customHeight="1" thickBot="1" x14ac:dyDescent="0.25">
      <c r="A16" s="85"/>
      <c r="B16" s="56"/>
      <c r="C16" s="55"/>
      <c r="D16" s="57"/>
      <c r="E16" s="85"/>
      <c r="F16" s="85"/>
      <c r="G16" s="85"/>
      <c r="H16" s="85"/>
      <c r="I16" s="85"/>
      <c r="J16" s="85"/>
      <c r="K16" s="85"/>
      <c r="L16" s="85"/>
      <c r="M16" s="86"/>
      <c r="N16" s="89" t="s">
        <v>52</v>
      </c>
      <c r="O16" s="90"/>
      <c r="P16" s="90">
        <f>O14-P15</f>
        <v>2552445</v>
      </c>
    </row>
    <row r="17" spans="1:16" ht="18" customHeight="1" x14ac:dyDescent="0.2">
      <c r="A17" s="11"/>
      <c r="H17" s="63"/>
      <c r="N17" s="62" t="s">
        <v>31</v>
      </c>
      <c r="P17" s="69">
        <f>P16*1%</f>
        <v>25524.45</v>
      </c>
    </row>
    <row r="18" spans="1:16" ht="18" customHeight="1" thickBot="1" x14ac:dyDescent="0.25">
      <c r="A18" s="11"/>
      <c r="H18" s="63"/>
      <c r="N18" s="62" t="s">
        <v>53</v>
      </c>
      <c r="P18" s="71">
        <f>P16*2%</f>
        <v>51048.9</v>
      </c>
    </row>
    <row r="19" spans="1:16" ht="18" customHeight="1" x14ac:dyDescent="0.2">
      <c r="A19" s="11"/>
      <c r="H19" s="63"/>
      <c r="N19" s="66" t="s">
        <v>32</v>
      </c>
      <c r="O19" s="67"/>
      <c r="P19" s="70">
        <f>P16+P17-P18</f>
        <v>2526920.5500000003</v>
      </c>
    </row>
    <row r="21" spans="1:16" x14ac:dyDescent="0.2">
      <c r="A21" s="11"/>
      <c r="H21" s="63"/>
      <c r="P21" s="71"/>
    </row>
    <row r="22" spans="1:16" x14ac:dyDescent="0.2">
      <c r="A22" s="11"/>
      <c r="H22" s="63"/>
      <c r="O22" s="58"/>
      <c r="P22" s="71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</sheetData>
  <mergeCells count="2">
    <mergeCell ref="A14:L14"/>
    <mergeCell ref="O14:P14"/>
  </mergeCells>
  <conditionalFormatting sqref="B3:B13">
    <cfRule type="duplicateValues" dxfId="63" priority="3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16"/>
  <sheetViews>
    <sheetView topLeftCell="A88" workbookViewId="0">
      <selection activeCell="O97" sqref="O9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4.42578125" style="3" customWidth="1"/>
    <col min="5" max="5" width="9.5703125" style="12" customWidth="1"/>
    <col min="6" max="6" width="13.28515625" style="3" customWidth="1"/>
    <col min="7" max="7" width="9.5703125" style="3" customWidth="1"/>
    <col min="8" max="8" width="16.1406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5.5" customHeight="1" x14ac:dyDescent="0.2">
      <c r="A3" s="82">
        <v>402306</v>
      </c>
      <c r="B3" s="74" t="s">
        <v>197</v>
      </c>
      <c r="C3" s="9" t="s">
        <v>198</v>
      </c>
      <c r="D3" s="76" t="s">
        <v>99</v>
      </c>
      <c r="E3" s="13" t="s">
        <v>291</v>
      </c>
      <c r="F3" s="76" t="s">
        <v>100</v>
      </c>
      <c r="G3" s="13">
        <v>44499.916666666664</v>
      </c>
      <c r="H3" s="10" t="s">
        <v>292</v>
      </c>
      <c r="I3" s="1">
        <v>75</v>
      </c>
      <c r="J3" s="1">
        <v>60</v>
      </c>
      <c r="K3" s="1">
        <v>40</v>
      </c>
      <c r="L3" s="1">
        <v>31</v>
      </c>
      <c r="M3" s="79">
        <v>45</v>
      </c>
      <c r="N3" s="8">
        <v>45</v>
      </c>
      <c r="O3" s="64">
        <v>7000</v>
      </c>
      <c r="P3" s="65">
        <f>Table2245789101123510[[#This Row],[PEMBULATAN]]*O3</f>
        <v>315000</v>
      </c>
    </row>
    <row r="4" spans="1:16" ht="25.5" customHeight="1" x14ac:dyDescent="0.2">
      <c r="A4" s="14"/>
      <c r="B4" s="75"/>
      <c r="C4" s="73" t="s">
        <v>199</v>
      </c>
      <c r="D4" s="77" t="s">
        <v>99</v>
      </c>
      <c r="E4" s="13" t="s">
        <v>291</v>
      </c>
      <c r="F4" s="76" t="s">
        <v>100</v>
      </c>
      <c r="G4" s="13">
        <v>44499.916666666664</v>
      </c>
      <c r="H4" s="95" t="s">
        <v>292</v>
      </c>
      <c r="I4" s="16">
        <v>150</v>
      </c>
      <c r="J4" s="16">
        <v>64</v>
      </c>
      <c r="K4" s="16">
        <v>10</v>
      </c>
      <c r="L4" s="16">
        <v>13</v>
      </c>
      <c r="M4" s="80">
        <v>24</v>
      </c>
      <c r="N4" s="72">
        <v>24</v>
      </c>
      <c r="O4" s="64">
        <v>7000</v>
      </c>
      <c r="P4" s="65">
        <f>Table2245789101123510[[#This Row],[PEMBULATAN]]*O4</f>
        <v>168000</v>
      </c>
    </row>
    <row r="5" spans="1:16" ht="25.5" customHeight="1" x14ac:dyDescent="0.2">
      <c r="A5" s="14"/>
      <c r="B5" s="75"/>
      <c r="C5" s="73" t="s">
        <v>200</v>
      </c>
      <c r="D5" s="77" t="s">
        <v>99</v>
      </c>
      <c r="E5" s="13" t="s">
        <v>291</v>
      </c>
      <c r="F5" s="76" t="s">
        <v>100</v>
      </c>
      <c r="G5" s="13">
        <v>44499.916666666664</v>
      </c>
      <c r="H5" s="95" t="s">
        <v>292</v>
      </c>
      <c r="I5" s="16">
        <v>150</v>
      </c>
      <c r="J5" s="16">
        <v>64</v>
      </c>
      <c r="K5" s="16">
        <v>10</v>
      </c>
      <c r="L5" s="16">
        <v>13</v>
      </c>
      <c r="M5" s="80">
        <v>24</v>
      </c>
      <c r="N5" s="72">
        <v>24</v>
      </c>
      <c r="O5" s="64">
        <v>7000</v>
      </c>
      <c r="P5" s="65">
        <f>Table2245789101123510[[#This Row],[PEMBULATAN]]*O5</f>
        <v>168000</v>
      </c>
    </row>
    <row r="6" spans="1:16" ht="25.5" customHeight="1" x14ac:dyDescent="0.2">
      <c r="A6" s="14"/>
      <c r="B6" s="75"/>
      <c r="C6" s="73" t="s">
        <v>201</v>
      </c>
      <c r="D6" s="77" t="s">
        <v>99</v>
      </c>
      <c r="E6" s="13" t="s">
        <v>291</v>
      </c>
      <c r="F6" s="76" t="s">
        <v>100</v>
      </c>
      <c r="G6" s="13">
        <v>44499.916666666664</v>
      </c>
      <c r="H6" s="95" t="s">
        <v>292</v>
      </c>
      <c r="I6" s="16">
        <v>150</v>
      </c>
      <c r="J6" s="16">
        <v>64</v>
      </c>
      <c r="K6" s="16">
        <v>10</v>
      </c>
      <c r="L6" s="16">
        <v>13</v>
      </c>
      <c r="M6" s="80">
        <v>24</v>
      </c>
      <c r="N6" s="72">
        <v>24</v>
      </c>
      <c r="O6" s="64">
        <v>7000</v>
      </c>
      <c r="P6" s="65">
        <f>Table2245789101123510[[#This Row],[PEMBULATAN]]*O6</f>
        <v>168000</v>
      </c>
    </row>
    <row r="7" spans="1:16" ht="25.5" customHeight="1" x14ac:dyDescent="0.2">
      <c r="A7" s="14"/>
      <c r="B7" s="75"/>
      <c r="C7" s="73" t="s">
        <v>202</v>
      </c>
      <c r="D7" s="77" t="s">
        <v>99</v>
      </c>
      <c r="E7" s="13" t="s">
        <v>291</v>
      </c>
      <c r="F7" s="76" t="s">
        <v>100</v>
      </c>
      <c r="G7" s="13">
        <v>44499.916666666664</v>
      </c>
      <c r="H7" s="95" t="s">
        <v>292</v>
      </c>
      <c r="I7" s="16">
        <v>150</v>
      </c>
      <c r="J7" s="16">
        <v>64</v>
      </c>
      <c r="K7" s="16">
        <v>10</v>
      </c>
      <c r="L7" s="16">
        <v>13</v>
      </c>
      <c r="M7" s="80">
        <v>24</v>
      </c>
      <c r="N7" s="72">
        <v>24</v>
      </c>
      <c r="O7" s="64">
        <v>7000</v>
      </c>
      <c r="P7" s="65">
        <f>Table2245789101123510[[#This Row],[PEMBULATAN]]*O7</f>
        <v>168000</v>
      </c>
    </row>
    <row r="8" spans="1:16" ht="25.5" customHeight="1" x14ac:dyDescent="0.2">
      <c r="A8" s="14"/>
      <c r="B8" s="75"/>
      <c r="C8" s="73" t="s">
        <v>203</v>
      </c>
      <c r="D8" s="77" t="s">
        <v>99</v>
      </c>
      <c r="E8" s="13" t="s">
        <v>291</v>
      </c>
      <c r="F8" s="76" t="s">
        <v>100</v>
      </c>
      <c r="G8" s="13">
        <v>44499.916666666664</v>
      </c>
      <c r="H8" s="95" t="s">
        <v>292</v>
      </c>
      <c r="I8" s="16">
        <v>150</v>
      </c>
      <c r="J8" s="16">
        <v>64</v>
      </c>
      <c r="K8" s="16">
        <v>10</v>
      </c>
      <c r="L8" s="16">
        <v>13</v>
      </c>
      <c r="M8" s="80">
        <v>24</v>
      </c>
      <c r="N8" s="72">
        <v>24</v>
      </c>
      <c r="O8" s="64">
        <v>7000</v>
      </c>
      <c r="P8" s="65">
        <f>Table2245789101123510[[#This Row],[PEMBULATAN]]*O8</f>
        <v>168000</v>
      </c>
    </row>
    <row r="9" spans="1:16" ht="25.5" customHeight="1" x14ac:dyDescent="0.2">
      <c r="A9" s="14"/>
      <c r="B9" s="75"/>
      <c r="C9" s="73" t="s">
        <v>204</v>
      </c>
      <c r="D9" s="77" t="s">
        <v>99</v>
      </c>
      <c r="E9" s="13" t="s">
        <v>291</v>
      </c>
      <c r="F9" s="76" t="s">
        <v>100</v>
      </c>
      <c r="G9" s="13">
        <v>44499.916666666664</v>
      </c>
      <c r="H9" s="95" t="s">
        <v>292</v>
      </c>
      <c r="I9" s="16">
        <v>150</v>
      </c>
      <c r="J9" s="16">
        <v>64</v>
      </c>
      <c r="K9" s="16">
        <v>10</v>
      </c>
      <c r="L9" s="16">
        <v>13</v>
      </c>
      <c r="M9" s="80">
        <v>24</v>
      </c>
      <c r="N9" s="72">
        <v>24</v>
      </c>
      <c r="O9" s="64">
        <v>7000</v>
      </c>
      <c r="P9" s="65">
        <f>Table2245789101123510[[#This Row],[PEMBULATAN]]*O9</f>
        <v>168000</v>
      </c>
    </row>
    <row r="10" spans="1:16" ht="25.5" customHeight="1" x14ac:dyDescent="0.2">
      <c r="A10" s="14"/>
      <c r="B10" s="75"/>
      <c r="C10" s="73" t="s">
        <v>205</v>
      </c>
      <c r="D10" s="77" t="s">
        <v>99</v>
      </c>
      <c r="E10" s="13" t="s">
        <v>291</v>
      </c>
      <c r="F10" s="76" t="s">
        <v>100</v>
      </c>
      <c r="G10" s="13">
        <v>44499.916666666664</v>
      </c>
      <c r="H10" s="95" t="s">
        <v>292</v>
      </c>
      <c r="I10" s="16">
        <v>150</v>
      </c>
      <c r="J10" s="16">
        <v>64</v>
      </c>
      <c r="K10" s="16">
        <v>10</v>
      </c>
      <c r="L10" s="16">
        <v>13</v>
      </c>
      <c r="M10" s="80">
        <v>24</v>
      </c>
      <c r="N10" s="72">
        <v>24</v>
      </c>
      <c r="O10" s="64">
        <v>7000</v>
      </c>
      <c r="P10" s="65">
        <f>Table2245789101123510[[#This Row],[PEMBULATAN]]*O10</f>
        <v>168000</v>
      </c>
    </row>
    <row r="11" spans="1:16" ht="25.5" customHeight="1" x14ac:dyDescent="0.2">
      <c r="A11" s="14"/>
      <c r="B11" s="75"/>
      <c r="C11" s="73" t="s">
        <v>206</v>
      </c>
      <c r="D11" s="77" t="s">
        <v>99</v>
      </c>
      <c r="E11" s="13" t="s">
        <v>291</v>
      </c>
      <c r="F11" s="76" t="s">
        <v>100</v>
      </c>
      <c r="G11" s="13">
        <v>44499.916666666664</v>
      </c>
      <c r="H11" s="95" t="s">
        <v>292</v>
      </c>
      <c r="I11" s="16">
        <v>75</v>
      </c>
      <c r="J11" s="16">
        <v>60</v>
      </c>
      <c r="K11" s="16">
        <v>40</v>
      </c>
      <c r="L11" s="16">
        <v>31</v>
      </c>
      <c r="M11" s="80">
        <v>45</v>
      </c>
      <c r="N11" s="72">
        <v>45</v>
      </c>
      <c r="O11" s="64">
        <v>7000</v>
      </c>
      <c r="P11" s="65">
        <f>Table2245789101123510[[#This Row],[PEMBULATAN]]*O11</f>
        <v>315000</v>
      </c>
    </row>
    <row r="12" spans="1:16" ht="25.5" customHeight="1" x14ac:dyDescent="0.2">
      <c r="A12" s="14"/>
      <c r="B12" s="75"/>
      <c r="C12" s="73" t="s">
        <v>207</v>
      </c>
      <c r="D12" s="77" t="s">
        <v>99</v>
      </c>
      <c r="E12" s="13" t="s">
        <v>291</v>
      </c>
      <c r="F12" s="76" t="s">
        <v>100</v>
      </c>
      <c r="G12" s="13">
        <v>44499.916666666664</v>
      </c>
      <c r="H12" s="95" t="s">
        <v>292</v>
      </c>
      <c r="I12" s="16">
        <v>75</v>
      </c>
      <c r="J12" s="16">
        <v>60</v>
      </c>
      <c r="K12" s="16">
        <v>40</v>
      </c>
      <c r="L12" s="16">
        <v>31</v>
      </c>
      <c r="M12" s="80">
        <v>45</v>
      </c>
      <c r="N12" s="72">
        <v>45</v>
      </c>
      <c r="O12" s="64">
        <v>7000</v>
      </c>
      <c r="P12" s="65">
        <f>Table2245789101123510[[#This Row],[PEMBULATAN]]*O12</f>
        <v>315000</v>
      </c>
    </row>
    <row r="13" spans="1:16" ht="25.5" customHeight="1" x14ac:dyDescent="0.2">
      <c r="A13" s="14"/>
      <c r="B13" s="75"/>
      <c r="C13" s="73" t="s">
        <v>208</v>
      </c>
      <c r="D13" s="77" t="s">
        <v>99</v>
      </c>
      <c r="E13" s="13" t="s">
        <v>291</v>
      </c>
      <c r="F13" s="76" t="s">
        <v>100</v>
      </c>
      <c r="G13" s="13">
        <v>44499.916666666664</v>
      </c>
      <c r="H13" s="95" t="s">
        <v>292</v>
      </c>
      <c r="I13" s="16">
        <v>75</v>
      </c>
      <c r="J13" s="16">
        <v>60</v>
      </c>
      <c r="K13" s="16">
        <v>40</v>
      </c>
      <c r="L13" s="16">
        <v>31</v>
      </c>
      <c r="M13" s="80">
        <v>45</v>
      </c>
      <c r="N13" s="72">
        <v>45</v>
      </c>
      <c r="O13" s="64">
        <v>7000</v>
      </c>
      <c r="P13" s="65">
        <f>Table2245789101123510[[#This Row],[PEMBULATAN]]*O13</f>
        <v>315000</v>
      </c>
    </row>
    <row r="14" spans="1:16" ht="25.5" customHeight="1" x14ac:dyDescent="0.2">
      <c r="A14" s="14"/>
      <c r="B14" s="75"/>
      <c r="C14" s="73" t="s">
        <v>209</v>
      </c>
      <c r="D14" s="77" t="s">
        <v>99</v>
      </c>
      <c r="E14" s="13" t="s">
        <v>291</v>
      </c>
      <c r="F14" s="76" t="s">
        <v>100</v>
      </c>
      <c r="G14" s="13">
        <v>44499.916666666664</v>
      </c>
      <c r="H14" s="95" t="s">
        <v>292</v>
      </c>
      <c r="I14" s="16">
        <v>47</v>
      </c>
      <c r="J14" s="16">
        <v>45</v>
      </c>
      <c r="K14" s="16">
        <v>46</v>
      </c>
      <c r="L14" s="16">
        <v>13</v>
      </c>
      <c r="M14" s="80">
        <v>24.322500000000002</v>
      </c>
      <c r="N14" s="72">
        <v>25</v>
      </c>
      <c r="O14" s="64">
        <v>7000</v>
      </c>
      <c r="P14" s="65">
        <f>Table2245789101123510[[#This Row],[PEMBULATAN]]*O14</f>
        <v>175000</v>
      </c>
    </row>
    <row r="15" spans="1:16" ht="25.5" customHeight="1" x14ac:dyDescent="0.2">
      <c r="A15" s="14"/>
      <c r="B15" s="75"/>
      <c r="C15" s="73" t="s">
        <v>210</v>
      </c>
      <c r="D15" s="77" t="s">
        <v>99</v>
      </c>
      <c r="E15" s="13" t="s">
        <v>291</v>
      </c>
      <c r="F15" s="76" t="s">
        <v>100</v>
      </c>
      <c r="G15" s="13">
        <v>44499.916666666664</v>
      </c>
      <c r="H15" s="95" t="s">
        <v>292</v>
      </c>
      <c r="I15" s="16">
        <v>47</v>
      </c>
      <c r="J15" s="16">
        <v>45</v>
      </c>
      <c r="K15" s="16">
        <v>46</v>
      </c>
      <c r="L15" s="16">
        <v>13</v>
      </c>
      <c r="M15" s="80">
        <v>24.322500000000002</v>
      </c>
      <c r="N15" s="72">
        <v>25</v>
      </c>
      <c r="O15" s="64">
        <v>7000</v>
      </c>
      <c r="P15" s="65">
        <f>Table2245789101123510[[#This Row],[PEMBULATAN]]*O15</f>
        <v>175000</v>
      </c>
    </row>
    <row r="16" spans="1:16" ht="25.5" customHeight="1" x14ac:dyDescent="0.2">
      <c r="A16" s="14"/>
      <c r="B16" s="75"/>
      <c r="C16" s="73" t="s">
        <v>211</v>
      </c>
      <c r="D16" s="77" t="s">
        <v>99</v>
      </c>
      <c r="E16" s="13" t="s">
        <v>291</v>
      </c>
      <c r="F16" s="76" t="s">
        <v>100</v>
      </c>
      <c r="G16" s="13">
        <v>44499.916666666664</v>
      </c>
      <c r="H16" s="95" t="s">
        <v>292</v>
      </c>
      <c r="I16" s="16">
        <v>47</v>
      </c>
      <c r="J16" s="16">
        <v>45</v>
      </c>
      <c r="K16" s="16">
        <v>46</v>
      </c>
      <c r="L16" s="16">
        <v>13</v>
      </c>
      <c r="M16" s="80">
        <v>24.322500000000002</v>
      </c>
      <c r="N16" s="72">
        <v>25</v>
      </c>
      <c r="O16" s="64">
        <v>7000</v>
      </c>
      <c r="P16" s="65">
        <f>Table2245789101123510[[#This Row],[PEMBULATAN]]*O16</f>
        <v>175000</v>
      </c>
    </row>
    <row r="17" spans="1:16" ht="25.5" customHeight="1" x14ac:dyDescent="0.2">
      <c r="A17" s="14"/>
      <c r="B17" s="75"/>
      <c r="C17" s="73" t="s">
        <v>212</v>
      </c>
      <c r="D17" s="77" t="s">
        <v>99</v>
      </c>
      <c r="E17" s="13" t="s">
        <v>291</v>
      </c>
      <c r="F17" s="76" t="s">
        <v>100</v>
      </c>
      <c r="G17" s="13">
        <v>44499.916666666664</v>
      </c>
      <c r="H17" s="95" t="s">
        <v>292</v>
      </c>
      <c r="I17" s="16">
        <v>47</v>
      </c>
      <c r="J17" s="16">
        <v>45</v>
      </c>
      <c r="K17" s="16">
        <v>46</v>
      </c>
      <c r="L17" s="16">
        <v>13</v>
      </c>
      <c r="M17" s="80">
        <v>24.322500000000002</v>
      </c>
      <c r="N17" s="72">
        <v>25</v>
      </c>
      <c r="O17" s="64">
        <v>7000</v>
      </c>
      <c r="P17" s="65">
        <f>Table2245789101123510[[#This Row],[PEMBULATAN]]*O17</f>
        <v>175000</v>
      </c>
    </row>
    <row r="18" spans="1:16" ht="25.5" customHeight="1" x14ac:dyDescent="0.2">
      <c r="A18" s="14"/>
      <c r="B18" s="75"/>
      <c r="C18" s="73" t="s">
        <v>213</v>
      </c>
      <c r="D18" s="77" t="s">
        <v>99</v>
      </c>
      <c r="E18" s="13" t="s">
        <v>291</v>
      </c>
      <c r="F18" s="76" t="s">
        <v>100</v>
      </c>
      <c r="G18" s="13">
        <v>44499.916666666664</v>
      </c>
      <c r="H18" s="95" t="s">
        <v>292</v>
      </c>
      <c r="I18" s="16">
        <v>47</v>
      </c>
      <c r="J18" s="16">
        <v>45</v>
      </c>
      <c r="K18" s="16">
        <v>46</v>
      </c>
      <c r="L18" s="16">
        <v>13</v>
      </c>
      <c r="M18" s="80">
        <v>24.322500000000002</v>
      </c>
      <c r="N18" s="72">
        <v>25</v>
      </c>
      <c r="O18" s="64">
        <v>7000</v>
      </c>
      <c r="P18" s="65">
        <f>Table2245789101123510[[#This Row],[PEMBULATAN]]*O18</f>
        <v>175000</v>
      </c>
    </row>
    <row r="19" spans="1:16" ht="25.5" customHeight="1" x14ac:dyDescent="0.2">
      <c r="A19" s="14"/>
      <c r="B19" s="75"/>
      <c r="C19" s="73" t="s">
        <v>214</v>
      </c>
      <c r="D19" s="77" t="s">
        <v>99</v>
      </c>
      <c r="E19" s="13" t="s">
        <v>291</v>
      </c>
      <c r="F19" s="76" t="s">
        <v>100</v>
      </c>
      <c r="G19" s="13">
        <v>44499.916666666664</v>
      </c>
      <c r="H19" s="95" t="s">
        <v>292</v>
      </c>
      <c r="I19" s="16">
        <v>47</v>
      </c>
      <c r="J19" s="16">
        <v>45</v>
      </c>
      <c r="K19" s="16">
        <v>46</v>
      </c>
      <c r="L19" s="16">
        <v>13</v>
      </c>
      <c r="M19" s="80">
        <v>24.322500000000002</v>
      </c>
      <c r="N19" s="72">
        <v>25</v>
      </c>
      <c r="O19" s="64">
        <v>7000</v>
      </c>
      <c r="P19" s="65">
        <f>Table2245789101123510[[#This Row],[PEMBULATAN]]*O19</f>
        <v>175000</v>
      </c>
    </row>
    <row r="20" spans="1:16" ht="25.5" customHeight="1" x14ac:dyDescent="0.2">
      <c r="A20" s="14"/>
      <c r="B20" s="75"/>
      <c r="C20" s="73" t="s">
        <v>215</v>
      </c>
      <c r="D20" s="77" t="s">
        <v>99</v>
      </c>
      <c r="E20" s="13" t="s">
        <v>291</v>
      </c>
      <c r="F20" s="76" t="s">
        <v>100</v>
      </c>
      <c r="G20" s="13">
        <v>44499.916666666664</v>
      </c>
      <c r="H20" s="95" t="s">
        <v>292</v>
      </c>
      <c r="I20" s="16">
        <v>47</v>
      </c>
      <c r="J20" s="16">
        <v>45</v>
      </c>
      <c r="K20" s="16">
        <v>46</v>
      </c>
      <c r="L20" s="16">
        <v>13</v>
      </c>
      <c r="M20" s="80">
        <v>24.322500000000002</v>
      </c>
      <c r="N20" s="72">
        <v>25</v>
      </c>
      <c r="O20" s="64">
        <v>7000</v>
      </c>
      <c r="P20" s="65">
        <f>Table2245789101123510[[#This Row],[PEMBULATAN]]*O20</f>
        <v>175000</v>
      </c>
    </row>
    <row r="21" spans="1:16" ht="25.5" customHeight="1" x14ac:dyDescent="0.2">
      <c r="A21" s="14"/>
      <c r="B21" s="75"/>
      <c r="C21" s="73" t="s">
        <v>216</v>
      </c>
      <c r="D21" s="77" t="s">
        <v>99</v>
      </c>
      <c r="E21" s="13" t="s">
        <v>291</v>
      </c>
      <c r="F21" s="76" t="s">
        <v>100</v>
      </c>
      <c r="G21" s="13">
        <v>44499.916666666664</v>
      </c>
      <c r="H21" s="95" t="s">
        <v>292</v>
      </c>
      <c r="I21" s="16">
        <v>75</v>
      </c>
      <c r="J21" s="16">
        <v>60</v>
      </c>
      <c r="K21" s="16">
        <v>40</v>
      </c>
      <c r="L21" s="16">
        <v>31</v>
      </c>
      <c r="M21" s="80">
        <v>45</v>
      </c>
      <c r="N21" s="72">
        <v>45</v>
      </c>
      <c r="O21" s="64">
        <v>7000</v>
      </c>
      <c r="P21" s="65">
        <f>Table2245789101123510[[#This Row],[PEMBULATAN]]*O21</f>
        <v>315000</v>
      </c>
    </row>
    <row r="22" spans="1:16" ht="25.5" customHeight="1" x14ac:dyDescent="0.2">
      <c r="A22" s="14"/>
      <c r="B22" s="75"/>
      <c r="C22" s="73" t="s">
        <v>217</v>
      </c>
      <c r="D22" s="77" t="s">
        <v>99</v>
      </c>
      <c r="E22" s="13" t="s">
        <v>291</v>
      </c>
      <c r="F22" s="76" t="s">
        <v>100</v>
      </c>
      <c r="G22" s="13">
        <v>44499.916666666664</v>
      </c>
      <c r="H22" s="95" t="s">
        <v>292</v>
      </c>
      <c r="I22" s="16">
        <v>75</v>
      </c>
      <c r="J22" s="16">
        <v>60</v>
      </c>
      <c r="K22" s="16">
        <v>40</v>
      </c>
      <c r="L22" s="16">
        <v>31</v>
      </c>
      <c r="M22" s="80">
        <v>45</v>
      </c>
      <c r="N22" s="72">
        <v>45</v>
      </c>
      <c r="O22" s="64">
        <v>7000</v>
      </c>
      <c r="P22" s="65">
        <f>Table2245789101123510[[#This Row],[PEMBULATAN]]*O22</f>
        <v>315000</v>
      </c>
    </row>
    <row r="23" spans="1:16" ht="25.5" customHeight="1" x14ac:dyDescent="0.2">
      <c r="A23" s="14"/>
      <c r="B23" s="75"/>
      <c r="C23" s="73" t="s">
        <v>218</v>
      </c>
      <c r="D23" s="77" t="s">
        <v>99</v>
      </c>
      <c r="E23" s="13" t="s">
        <v>291</v>
      </c>
      <c r="F23" s="76" t="s">
        <v>100</v>
      </c>
      <c r="G23" s="13">
        <v>44499.916666666664</v>
      </c>
      <c r="H23" s="95" t="s">
        <v>292</v>
      </c>
      <c r="I23" s="16">
        <v>47</v>
      </c>
      <c r="J23" s="16">
        <v>45</v>
      </c>
      <c r="K23" s="16">
        <v>46</v>
      </c>
      <c r="L23" s="16">
        <v>13</v>
      </c>
      <c r="M23" s="80">
        <v>24.322500000000002</v>
      </c>
      <c r="N23" s="72">
        <v>25</v>
      </c>
      <c r="O23" s="64">
        <v>7000</v>
      </c>
      <c r="P23" s="65">
        <f>Table2245789101123510[[#This Row],[PEMBULATAN]]*O23</f>
        <v>175000</v>
      </c>
    </row>
    <row r="24" spans="1:16" ht="25.5" customHeight="1" x14ac:dyDescent="0.2">
      <c r="A24" s="14"/>
      <c r="B24" s="75"/>
      <c r="C24" s="73" t="s">
        <v>219</v>
      </c>
      <c r="D24" s="77" t="s">
        <v>99</v>
      </c>
      <c r="E24" s="13" t="s">
        <v>291</v>
      </c>
      <c r="F24" s="76" t="s">
        <v>100</v>
      </c>
      <c r="G24" s="13">
        <v>44499.916666666664</v>
      </c>
      <c r="H24" s="95" t="s">
        <v>292</v>
      </c>
      <c r="I24" s="16">
        <v>47</v>
      </c>
      <c r="J24" s="16">
        <v>45</v>
      </c>
      <c r="K24" s="16">
        <v>46</v>
      </c>
      <c r="L24" s="16">
        <v>13</v>
      </c>
      <c r="M24" s="80">
        <v>24.322500000000002</v>
      </c>
      <c r="N24" s="72">
        <v>25</v>
      </c>
      <c r="O24" s="64">
        <v>7000</v>
      </c>
      <c r="P24" s="65">
        <f>Table2245789101123510[[#This Row],[PEMBULATAN]]*O24</f>
        <v>175000</v>
      </c>
    </row>
    <row r="25" spans="1:16" ht="25.5" customHeight="1" x14ac:dyDescent="0.2">
      <c r="A25" s="14"/>
      <c r="B25" s="75"/>
      <c r="C25" s="73" t="s">
        <v>220</v>
      </c>
      <c r="D25" s="77" t="s">
        <v>99</v>
      </c>
      <c r="E25" s="13" t="s">
        <v>291</v>
      </c>
      <c r="F25" s="76" t="s">
        <v>100</v>
      </c>
      <c r="G25" s="13">
        <v>44499.916666666664</v>
      </c>
      <c r="H25" s="95" t="s">
        <v>292</v>
      </c>
      <c r="I25" s="16">
        <v>57</v>
      </c>
      <c r="J25" s="16">
        <v>39</v>
      </c>
      <c r="K25" s="16">
        <v>39</v>
      </c>
      <c r="L25" s="16">
        <v>13</v>
      </c>
      <c r="M25" s="80">
        <v>21.674250000000001</v>
      </c>
      <c r="N25" s="104">
        <v>21.674250000000001</v>
      </c>
      <c r="O25" s="64">
        <v>7000</v>
      </c>
      <c r="P25" s="65">
        <f>Table2245789101123510[[#This Row],[PEMBULATAN]]*O25</f>
        <v>151719.75</v>
      </c>
    </row>
    <row r="26" spans="1:16" ht="25.5" customHeight="1" x14ac:dyDescent="0.2">
      <c r="A26" s="14"/>
      <c r="B26" s="75"/>
      <c r="C26" s="73" t="s">
        <v>221</v>
      </c>
      <c r="D26" s="77" t="s">
        <v>99</v>
      </c>
      <c r="E26" s="13" t="s">
        <v>291</v>
      </c>
      <c r="F26" s="76" t="s">
        <v>100</v>
      </c>
      <c r="G26" s="13">
        <v>44499.916666666664</v>
      </c>
      <c r="H26" s="95" t="s">
        <v>292</v>
      </c>
      <c r="I26" s="16">
        <v>57</v>
      </c>
      <c r="J26" s="16">
        <v>39</v>
      </c>
      <c r="K26" s="16">
        <v>39</v>
      </c>
      <c r="L26" s="16">
        <v>13</v>
      </c>
      <c r="M26" s="80">
        <v>21.674250000000001</v>
      </c>
      <c r="N26" s="104">
        <v>21.674250000000001</v>
      </c>
      <c r="O26" s="64">
        <v>7000</v>
      </c>
      <c r="P26" s="65">
        <f>Table2245789101123510[[#This Row],[PEMBULATAN]]*O26</f>
        <v>151719.75</v>
      </c>
    </row>
    <row r="27" spans="1:16" ht="25.5" customHeight="1" x14ac:dyDescent="0.2">
      <c r="A27" s="14"/>
      <c r="B27" s="75"/>
      <c r="C27" s="73" t="s">
        <v>222</v>
      </c>
      <c r="D27" s="77" t="s">
        <v>99</v>
      </c>
      <c r="E27" s="13" t="s">
        <v>291</v>
      </c>
      <c r="F27" s="76" t="s">
        <v>100</v>
      </c>
      <c r="G27" s="13">
        <v>44499.916666666664</v>
      </c>
      <c r="H27" s="95" t="s">
        <v>292</v>
      </c>
      <c r="I27" s="16">
        <v>57</v>
      </c>
      <c r="J27" s="16">
        <v>39</v>
      </c>
      <c r="K27" s="16">
        <v>39</v>
      </c>
      <c r="L27" s="16">
        <v>13</v>
      </c>
      <c r="M27" s="80">
        <v>21.674250000000001</v>
      </c>
      <c r="N27" s="104">
        <v>21.674250000000001</v>
      </c>
      <c r="O27" s="64">
        <v>7000</v>
      </c>
      <c r="P27" s="65">
        <f>Table2245789101123510[[#This Row],[PEMBULATAN]]*O27</f>
        <v>151719.75</v>
      </c>
    </row>
    <row r="28" spans="1:16" ht="25.5" customHeight="1" x14ac:dyDescent="0.2">
      <c r="A28" s="14"/>
      <c r="B28" s="75"/>
      <c r="C28" s="73" t="s">
        <v>223</v>
      </c>
      <c r="D28" s="77" t="s">
        <v>99</v>
      </c>
      <c r="E28" s="13" t="s">
        <v>291</v>
      </c>
      <c r="F28" s="76" t="s">
        <v>100</v>
      </c>
      <c r="G28" s="13">
        <v>44499.916666666664</v>
      </c>
      <c r="H28" s="95" t="s">
        <v>292</v>
      </c>
      <c r="I28" s="16">
        <v>83</v>
      </c>
      <c r="J28" s="16">
        <v>82</v>
      </c>
      <c r="K28" s="16">
        <v>23</v>
      </c>
      <c r="L28" s="16">
        <v>13</v>
      </c>
      <c r="M28" s="80">
        <v>39.134500000000003</v>
      </c>
      <c r="N28" s="104">
        <v>39.134500000000003</v>
      </c>
      <c r="O28" s="64">
        <v>7000</v>
      </c>
      <c r="P28" s="65">
        <f>Table2245789101123510[[#This Row],[PEMBULATAN]]*O28</f>
        <v>273941.5</v>
      </c>
    </row>
    <row r="29" spans="1:16" ht="25.5" customHeight="1" x14ac:dyDescent="0.2">
      <c r="A29" s="14"/>
      <c r="B29" s="75"/>
      <c r="C29" s="73" t="s">
        <v>224</v>
      </c>
      <c r="D29" s="77" t="s">
        <v>99</v>
      </c>
      <c r="E29" s="13" t="s">
        <v>291</v>
      </c>
      <c r="F29" s="76" t="s">
        <v>100</v>
      </c>
      <c r="G29" s="13">
        <v>44499.916666666664</v>
      </c>
      <c r="H29" s="95" t="s">
        <v>292</v>
      </c>
      <c r="I29" s="16">
        <v>57</v>
      </c>
      <c r="J29" s="16">
        <v>23</v>
      </c>
      <c r="K29" s="16">
        <v>24</v>
      </c>
      <c r="L29" s="16">
        <v>3</v>
      </c>
      <c r="M29" s="80">
        <v>7.8659999999999997</v>
      </c>
      <c r="N29" s="104">
        <v>7.8659999999999997</v>
      </c>
      <c r="O29" s="64">
        <v>7000</v>
      </c>
      <c r="P29" s="65">
        <f>Table2245789101123510[[#This Row],[PEMBULATAN]]*O29</f>
        <v>55062</v>
      </c>
    </row>
    <row r="30" spans="1:16" ht="25.5" customHeight="1" x14ac:dyDescent="0.2">
      <c r="A30" s="14"/>
      <c r="B30" s="75"/>
      <c r="C30" s="73" t="s">
        <v>225</v>
      </c>
      <c r="D30" s="77" t="s">
        <v>99</v>
      </c>
      <c r="E30" s="13" t="s">
        <v>291</v>
      </c>
      <c r="F30" s="76" t="s">
        <v>100</v>
      </c>
      <c r="G30" s="13">
        <v>44499.916666666664</v>
      </c>
      <c r="H30" s="95" t="s">
        <v>292</v>
      </c>
      <c r="I30" s="16">
        <v>57</v>
      </c>
      <c r="J30" s="16">
        <v>23</v>
      </c>
      <c r="K30" s="16">
        <v>24</v>
      </c>
      <c r="L30" s="16">
        <v>3</v>
      </c>
      <c r="M30" s="80">
        <v>7.8659999999999997</v>
      </c>
      <c r="N30" s="104">
        <v>7.8659999999999997</v>
      </c>
      <c r="O30" s="64">
        <v>7000</v>
      </c>
      <c r="P30" s="65">
        <f>Table2245789101123510[[#This Row],[PEMBULATAN]]*O30</f>
        <v>55062</v>
      </c>
    </row>
    <row r="31" spans="1:16" ht="25.5" customHeight="1" x14ac:dyDescent="0.2">
      <c r="A31" s="14"/>
      <c r="B31" s="75"/>
      <c r="C31" s="73" t="s">
        <v>226</v>
      </c>
      <c r="D31" s="77" t="s">
        <v>99</v>
      </c>
      <c r="E31" s="13" t="s">
        <v>291</v>
      </c>
      <c r="F31" s="76" t="s">
        <v>100</v>
      </c>
      <c r="G31" s="13">
        <v>44499.916666666664</v>
      </c>
      <c r="H31" s="95" t="s">
        <v>292</v>
      </c>
      <c r="I31" s="16">
        <v>57</v>
      </c>
      <c r="J31" s="16">
        <v>23</v>
      </c>
      <c r="K31" s="16">
        <v>24</v>
      </c>
      <c r="L31" s="16">
        <v>3</v>
      </c>
      <c r="M31" s="80">
        <v>7.8659999999999997</v>
      </c>
      <c r="N31" s="104">
        <v>7.8659999999999997</v>
      </c>
      <c r="O31" s="64">
        <v>7000</v>
      </c>
      <c r="P31" s="65">
        <f>Table2245789101123510[[#This Row],[PEMBULATAN]]*O31</f>
        <v>55062</v>
      </c>
    </row>
    <row r="32" spans="1:16" ht="25.5" customHeight="1" x14ac:dyDescent="0.2">
      <c r="A32" s="14"/>
      <c r="B32" s="75"/>
      <c r="C32" s="73" t="s">
        <v>227</v>
      </c>
      <c r="D32" s="77" t="s">
        <v>99</v>
      </c>
      <c r="E32" s="13" t="s">
        <v>291</v>
      </c>
      <c r="F32" s="76" t="s">
        <v>100</v>
      </c>
      <c r="G32" s="13">
        <v>44499.916666666664</v>
      </c>
      <c r="H32" s="95" t="s">
        <v>292</v>
      </c>
      <c r="I32" s="16">
        <v>57</v>
      </c>
      <c r="J32" s="16">
        <v>23</v>
      </c>
      <c r="K32" s="16">
        <v>24</v>
      </c>
      <c r="L32" s="16">
        <v>3</v>
      </c>
      <c r="M32" s="80">
        <v>7.8659999999999997</v>
      </c>
      <c r="N32" s="104">
        <v>7.8659999999999997</v>
      </c>
      <c r="O32" s="64">
        <v>7000</v>
      </c>
      <c r="P32" s="65">
        <f>Table2245789101123510[[#This Row],[PEMBULATAN]]*O32</f>
        <v>55062</v>
      </c>
    </row>
    <row r="33" spans="1:16" ht="25.5" customHeight="1" x14ac:dyDescent="0.2">
      <c r="A33" s="14"/>
      <c r="B33" s="75"/>
      <c r="C33" s="73" t="s">
        <v>228</v>
      </c>
      <c r="D33" s="77" t="s">
        <v>99</v>
      </c>
      <c r="E33" s="13" t="s">
        <v>291</v>
      </c>
      <c r="F33" s="76" t="s">
        <v>100</v>
      </c>
      <c r="G33" s="13">
        <v>44499.916666666664</v>
      </c>
      <c r="H33" s="95" t="s">
        <v>292</v>
      </c>
      <c r="I33" s="16">
        <v>57</v>
      </c>
      <c r="J33" s="16">
        <v>23</v>
      </c>
      <c r="K33" s="16">
        <v>24</v>
      </c>
      <c r="L33" s="16">
        <v>3</v>
      </c>
      <c r="M33" s="80">
        <v>7.8659999999999997</v>
      </c>
      <c r="N33" s="104">
        <v>8</v>
      </c>
      <c r="O33" s="64">
        <v>7000</v>
      </c>
      <c r="P33" s="65">
        <f>Table2245789101123510[[#This Row],[PEMBULATAN]]*O33</f>
        <v>56000</v>
      </c>
    </row>
    <row r="34" spans="1:16" ht="25.5" customHeight="1" x14ac:dyDescent="0.2">
      <c r="A34" s="14"/>
      <c r="B34" s="75"/>
      <c r="C34" s="73" t="s">
        <v>229</v>
      </c>
      <c r="D34" s="77" t="s">
        <v>99</v>
      </c>
      <c r="E34" s="13" t="s">
        <v>291</v>
      </c>
      <c r="F34" s="76" t="s">
        <v>100</v>
      </c>
      <c r="G34" s="13">
        <v>44499.916666666664</v>
      </c>
      <c r="H34" s="95" t="s">
        <v>292</v>
      </c>
      <c r="I34" s="16">
        <v>47</v>
      </c>
      <c r="J34" s="16">
        <v>45</v>
      </c>
      <c r="K34" s="16">
        <v>46</v>
      </c>
      <c r="L34" s="16">
        <v>13</v>
      </c>
      <c r="M34" s="80">
        <v>24.322500000000002</v>
      </c>
      <c r="N34" s="104">
        <v>25</v>
      </c>
      <c r="O34" s="64">
        <v>7000</v>
      </c>
      <c r="P34" s="65">
        <f>Table2245789101123510[[#This Row],[PEMBULATAN]]*O34</f>
        <v>175000</v>
      </c>
    </row>
    <row r="35" spans="1:16" ht="25.5" customHeight="1" x14ac:dyDescent="0.2">
      <c r="A35" s="14"/>
      <c r="B35" s="75"/>
      <c r="C35" s="73" t="s">
        <v>230</v>
      </c>
      <c r="D35" s="77" t="s">
        <v>99</v>
      </c>
      <c r="E35" s="13" t="s">
        <v>291</v>
      </c>
      <c r="F35" s="76" t="s">
        <v>100</v>
      </c>
      <c r="G35" s="13">
        <v>44499.916666666664</v>
      </c>
      <c r="H35" s="95" t="s">
        <v>292</v>
      </c>
      <c r="I35" s="16">
        <v>47</v>
      </c>
      <c r="J35" s="16">
        <v>45</v>
      </c>
      <c r="K35" s="16">
        <v>46</v>
      </c>
      <c r="L35" s="16">
        <v>13</v>
      </c>
      <c r="M35" s="80">
        <v>24.322500000000002</v>
      </c>
      <c r="N35" s="104">
        <v>25</v>
      </c>
      <c r="O35" s="64">
        <v>7000</v>
      </c>
      <c r="P35" s="65">
        <f>Table2245789101123510[[#This Row],[PEMBULATAN]]*O35</f>
        <v>175000</v>
      </c>
    </row>
    <row r="36" spans="1:16" ht="25.5" customHeight="1" x14ac:dyDescent="0.2">
      <c r="A36" s="14"/>
      <c r="B36" s="75"/>
      <c r="C36" s="73" t="s">
        <v>231</v>
      </c>
      <c r="D36" s="77" t="s">
        <v>99</v>
      </c>
      <c r="E36" s="13" t="s">
        <v>291</v>
      </c>
      <c r="F36" s="76" t="s">
        <v>100</v>
      </c>
      <c r="G36" s="13">
        <v>44499.916666666664</v>
      </c>
      <c r="H36" s="95" t="s">
        <v>292</v>
      </c>
      <c r="I36" s="16">
        <v>47</v>
      </c>
      <c r="J36" s="16">
        <v>45</v>
      </c>
      <c r="K36" s="16">
        <v>46</v>
      </c>
      <c r="L36" s="16">
        <v>13</v>
      </c>
      <c r="M36" s="80">
        <v>24.322500000000002</v>
      </c>
      <c r="N36" s="104">
        <v>25</v>
      </c>
      <c r="O36" s="64">
        <v>7000</v>
      </c>
      <c r="P36" s="65">
        <f>Table2245789101123510[[#This Row],[PEMBULATAN]]*O36</f>
        <v>175000</v>
      </c>
    </row>
    <row r="37" spans="1:16" ht="25.5" customHeight="1" x14ac:dyDescent="0.2">
      <c r="A37" s="14"/>
      <c r="B37" s="75"/>
      <c r="C37" s="73" t="s">
        <v>232</v>
      </c>
      <c r="D37" s="77" t="s">
        <v>99</v>
      </c>
      <c r="E37" s="13" t="s">
        <v>291</v>
      </c>
      <c r="F37" s="76" t="s">
        <v>100</v>
      </c>
      <c r="G37" s="13">
        <v>44499.916666666664</v>
      </c>
      <c r="H37" s="95" t="s">
        <v>292</v>
      </c>
      <c r="I37" s="16">
        <v>47</v>
      </c>
      <c r="J37" s="16">
        <v>45</v>
      </c>
      <c r="K37" s="16">
        <v>46</v>
      </c>
      <c r="L37" s="16">
        <v>13</v>
      </c>
      <c r="M37" s="80">
        <v>24.322500000000002</v>
      </c>
      <c r="N37" s="104">
        <v>25</v>
      </c>
      <c r="O37" s="64">
        <v>7000</v>
      </c>
      <c r="P37" s="65">
        <f>Table2245789101123510[[#This Row],[PEMBULATAN]]*O37</f>
        <v>175000</v>
      </c>
    </row>
    <row r="38" spans="1:16" ht="25.5" customHeight="1" x14ac:dyDescent="0.2">
      <c r="A38" s="14"/>
      <c r="B38" s="75"/>
      <c r="C38" s="73" t="s">
        <v>233</v>
      </c>
      <c r="D38" s="77" t="s">
        <v>99</v>
      </c>
      <c r="E38" s="13" t="s">
        <v>291</v>
      </c>
      <c r="F38" s="76" t="s">
        <v>100</v>
      </c>
      <c r="G38" s="13">
        <v>44499.916666666664</v>
      </c>
      <c r="H38" s="95" t="s">
        <v>292</v>
      </c>
      <c r="I38" s="16">
        <v>47</v>
      </c>
      <c r="J38" s="16">
        <v>45</v>
      </c>
      <c r="K38" s="16">
        <v>46</v>
      </c>
      <c r="L38" s="16">
        <v>13</v>
      </c>
      <c r="M38" s="80">
        <v>24.322500000000002</v>
      </c>
      <c r="N38" s="104">
        <v>25</v>
      </c>
      <c r="O38" s="64">
        <v>7000</v>
      </c>
      <c r="P38" s="65">
        <f>Table2245789101123510[[#This Row],[PEMBULATAN]]*O38</f>
        <v>175000</v>
      </c>
    </row>
    <row r="39" spans="1:16" ht="25.5" customHeight="1" x14ac:dyDescent="0.2">
      <c r="A39" s="14"/>
      <c r="B39" s="75"/>
      <c r="C39" s="73" t="s">
        <v>234</v>
      </c>
      <c r="D39" s="77" t="s">
        <v>99</v>
      </c>
      <c r="E39" s="13" t="s">
        <v>291</v>
      </c>
      <c r="F39" s="76" t="s">
        <v>100</v>
      </c>
      <c r="G39" s="13">
        <v>44499.916666666664</v>
      </c>
      <c r="H39" s="95" t="s">
        <v>292</v>
      </c>
      <c r="I39" s="16">
        <v>47</v>
      </c>
      <c r="J39" s="16">
        <v>45</v>
      </c>
      <c r="K39" s="16">
        <v>46</v>
      </c>
      <c r="L39" s="16">
        <v>13</v>
      </c>
      <c r="M39" s="80">
        <v>24.322500000000002</v>
      </c>
      <c r="N39" s="104">
        <v>25</v>
      </c>
      <c r="O39" s="64">
        <v>7000</v>
      </c>
      <c r="P39" s="65">
        <f>Table2245789101123510[[#This Row],[PEMBULATAN]]*O39</f>
        <v>175000</v>
      </c>
    </row>
    <row r="40" spans="1:16" ht="25.5" customHeight="1" x14ac:dyDescent="0.2">
      <c r="A40" s="14"/>
      <c r="B40" s="75"/>
      <c r="C40" s="73" t="s">
        <v>235</v>
      </c>
      <c r="D40" s="77" t="s">
        <v>99</v>
      </c>
      <c r="E40" s="13" t="s">
        <v>291</v>
      </c>
      <c r="F40" s="76" t="s">
        <v>100</v>
      </c>
      <c r="G40" s="13">
        <v>44499.916666666664</v>
      </c>
      <c r="H40" s="95" t="s">
        <v>292</v>
      </c>
      <c r="I40" s="16">
        <v>47</v>
      </c>
      <c r="J40" s="16">
        <v>45</v>
      </c>
      <c r="K40" s="16">
        <v>46</v>
      </c>
      <c r="L40" s="16">
        <v>13</v>
      </c>
      <c r="M40" s="80">
        <v>24.322500000000002</v>
      </c>
      <c r="N40" s="104">
        <v>25</v>
      </c>
      <c r="O40" s="64">
        <v>7000</v>
      </c>
      <c r="P40" s="65">
        <f>Table2245789101123510[[#This Row],[PEMBULATAN]]*O40</f>
        <v>175000</v>
      </c>
    </row>
    <row r="41" spans="1:16" ht="25.5" customHeight="1" x14ac:dyDescent="0.2">
      <c r="A41" s="14"/>
      <c r="B41" s="75"/>
      <c r="C41" s="73" t="s">
        <v>236</v>
      </c>
      <c r="D41" s="77" t="s">
        <v>99</v>
      </c>
      <c r="E41" s="13" t="s">
        <v>291</v>
      </c>
      <c r="F41" s="76" t="s">
        <v>100</v>
      </c>
      <c r="G41" s="13">
        <v>44499.916666666664</v>
      </c>
      <c r="H41" s="95" t="s">
        <v>292</v>
      </c>
      <c r="I41" s="16">
        <v>47</v>
      </c>
      <c r="J41" s="16">
        <v>45</v>
      </c>
      <c r="K41" s="16">
        <v>46</v>
      </c>
      <c r="L41" s="16">
        <v>13</v>
      </c>
      <c r="M41" s="80">
        <v>24.322500000000002</v>
      </c>
      <c r="N41" s="104">
        <v>25</v>
      </c>
      <c r="O41" s="64">
        <v>7000</v>
      </c>
      <c r="P41" s="65">
        <f>Table2245789101123510[[#This Row],[PEMBULATAN]]*O41</f>
        <v>175000</v>
      </c>
    </row>
    <row r="42" spans="1:16" ht="25.5" customHeight="1" x14ac:dyDescent="0.2">
      <c r="A42" s="14"/>
      <c r="B42" s="75"/>
      <c r="C42" s="73" t="s">
        <v>237</v>
      </c>
      <c r="D42" s="77" t="s">
        <v>99</v>
      </c>
      <c r="E42" s="13" t="s">
        <v>291</v>
      </c>
      <c r="F42" s="76" t="s">
        <v>100</v>
      </c>
      <c r="G42" s="13">
        <v>44499.916666666664</v>
      </c>
      <c r="H42" s="95" t="s">
        <v>292</v>
      </c>
      <c r="I42" s="16">
        <v>47</v>
      </c>
      <c r="J42" s="16">
        <v>45</v>
      </c>
      <c r="K42" s="16">
        <v>46</v>
      </c>
      <c r="L42" s="16">
        <v>13</v>
      </c>
      <c r="M42" s="80">
        <v>24.322500000000002</v>
      </c>
      <c r="N42" s="104">
        <v>25</v>
      </c>
      <c r="O42" s="64">
        <v>7000</v>
      </c>
      <c r="P42" s="65">
        <f>Table2245789101123510[[#This Row],[PEMBULATAN]]*O42</f>
        <v>175000</v>
      </c>
    </row>
    <row r="43" spans="1:16" ht="25.5" customHeight="1" x14ac:dyDescent="0.2">
      <c r="A43" s="14"/>
      <c r="B43" s="75"/>
      <c r="C43" s="73" t="s">
        <v>238</v>
      </c>
      <c r="D43" s="77" t="s">
        <v>99</v>
      </c>
      <c r="E43" s="13" t="s">
        <v>291</v>
      </c>
      <c r="F43" s="76" t="s">
        <v>100</v>
      </c>
      <c r="G43" s="13">
        <v>44499.916666666664</v>
      </c>
      <c r="H43" s="95" t="s">
        <v>292</v>
      </c>
      <c r="I43" s="16">
        <v>47</v>
      </c>
      <c r="J43" s="16">
        <v>45</v>
      </c>
      <c r="K43" s="16">
        <v>46</v>
      </c>
      <c r="L43" s="16">
        <v>13</v>
      </c>
      <c r="M43" s="80">
        <v>24.322500000000002</v>
      </c>
      <c r="N43" s="104">
        <v>25</v>
      </c>
      <c r="O43" s="64">
        <v>7000</v>
      </c>
      <c r="P43" s="65">
        <f>Table2245789101123510[[#This Row],[PEMBULATAN]]*O43</f>
        <v>175000</v>
      </c>
    </row>
    <row r="44" spans="1:16" ht="25.5" customHeight="1" x14ac:dyDescent="0.2">
      <c r="A44" s="14"/>
      <c r="B44" s="75"/>
      <c r="C44" s="73" t="s">
        <v>239</v>
      </c>
      <c r="D44" s="77" t="s">
        <v>99</v>
      </c>
      <c r="E44" s="13" t="s">
        <v>291</v>
      </c>
      <c r="F44" s="76" t="s">
        <v>100</v>
      </c>
      <c r="G44" s="13">
        <v>44499.916666666664</v>
      </c>
      <c r="H44" s="95" t="s">
        <v>292</v>
      </c>
      <c r="I44" s="16">
        <v>47</v>
      </c>
      <c r="J44" s="16">
        <v>45</v>
      </c>
      <c r="K44" s="16">
        <v>46</v>
      </c>
      <c r="L44" s="16">
        <v>13</v>
      </c>
      <c r="M44" s="80">
        <v>24.322500000000002</v>
      </c>
      <c r="N44" s="104">
        <v>25</v>
      </c>
      <c r="O44" s="64">
        <v>7000</v>
      </c>
      <c r="P44" s="65">
        <f>Table2245789101123510[[#This Row],[PEMBULATAN]]*O44</f>
        <v>175000</v>
      </c>
    </row>
    <row r="45" spans="1:16" ht="25.5" customHeight="1" x14ac:dyDescent="0.2">
      <c r="A45" s="14"/>
      <c r="B45" s="75"/>
      <c r="C45" s="73" t="s">
        <v>240</v>
      </c>
      <c r="D45" s="77" t="s">
        <v>99</v>
      </c>
      <c r="E45" s="13" t="s">
        <v>291</v>
      </c>
      <c r="F45" s="76" t="s">
        <v>100</v>
      </c>
      <c r="G45" s="13">
        <v>44499.916666666664</v>
      </c>
      <c r="H45" s="95" t="s">
        <v>292</v>
      </c>
      <c r="I45" s="16">
        <v>47</v>
      </c>
      <c r="J45" s="16">
        <v>45</v>
      </c>
      <c r="K45" s="16">
        <v>46</v>
      </c>
      <c r="L45" s="16">
        <v>13</v>
      </c>
      <c r="M45" s="80">
        <v>24.322500000000002</v>
      </c>
      <c r="N45" s="104">
        <v>25</v>
      </c>
      <c r="O45" s="64">
        <v>7000</v>
      </c>
      <c r="P45" s="65">
        <f>Table2245789101123510[[#This Row],[PEMBULATAN]]*O45</f>
        <v>175000</v>
      </c>
    </row>
    <row r="46" spans="1:16" ht="25.5" customHeight="1" x14ac:dyDescent="0.2">
      <c r="A46" s="14"/>
      <c r="B46" s="75"/>
      <c r="C46" s="73" t="s">
        <v>241</v>
      </c>
      <c r="D46" s="77" t="s">
        <v>99</v>
      </c>
      <c r="E46" s="13" t="s">
        <v>291</v>
      </c>
      <c r="F46" s="76" t="s">
        <v>100</v>
      </c>
      <c r="G46" s="13">
        <v>44499.916666666664</v>
      </c>
      <c r="H46" s="95" t="s">
        <v>292</v>
      </c>
      <c r="I46" s="16">
        <v>47</v>
      </c>
      <c r="J46" s="16">
        <v>45</v>
      </c>
      <c r="K46" s="16">
        <v>46</v>
      </c>
      <c r="L46" s="16">
        <v>13</v>
      </c>
      <c r="M46" s="80">
        <v>24.322500000000002</v>
      </c>
      <c r="N46" s="104">
        <v>25</v>
      </c>
      <c r="O46" s="64">
        <v>7000</v>
      </c>
      <c r="P46" s="65">
        <f>Table2245789101123510[[#This Row],[PEMBULATAN]]*O46</f>
        <v>175000</v>
      </c>
    </row>
    <row r="47" spans="1:16" ht="25.5" customHeight="1" x14ac:dyDescent="0.2">
      <c r="A47" s="14"/>
      <c r="B47" s="75"/>
      <c r="C47" s="73" t="s">
        <v>242</v>
      </c>
      <c r="D47" s="77" t="s">
        <v>99</v>
      </c>
      <c r="E47" s="13" t="s">
        <v>291</v>
      </c>
      <c r="F47" s="76" t="s">
        <v>100</v>
      </c>
      <c r="G47" s="13">
        <v>44499.916666666664</v>
      </c>
      <c r="H47" s="95" t="s">
        <v>292</v>
      </c>
      <c r="I47" s="16">
        <v>47</v>
      </c>
      <c r="J47" s="16">
        <v>45</v>
      </c>
      <c r="K47" s="16">
        <v>46</v>
      </c>
      <c r="L47" s="16">
        <v>13</v>
      </c>
      <c r="M47" s="80">
        <v>24.322500000000002</v>
      </c>
      <c r="N47" s="104">
        <v>25</v>
      </c>
      <c r="O47" s="64">
        <v>7000</v>
      </c>
      <c r="P47" s="65">
        <f>Table2245789101123510[[#This Row],[PEMBULATAN]]*O47</f>
        <v>175000</v>
      </c>
    </row>
    <row r="48" spans="1:16" ht="25.5" customHeight="1" x14ac:dyDescent="0.2">
      <c r="A48" s="14"/>
      <c r="B48" s="75"/>
      <c r="C48" s="73" t="s">
        <v>243</v>
      </c>
      <c r="D48" s="77" t="s">
        <v>99</v>
      </c>
      <c r="E48" s="13" t="s">
        <v>291</v>
      </c>
      <c r="F48" s="76" t="s">
        <v>100</v>
      </c>
      <c r="G48" s="13">
        <v>44499.916666666664</v>
      </c>
      <c r="H48" s="95" t="s">
        <v>292</v>
      </c>
      <c r="I48" s="16">
        <v>47</v>
      </c>
      <c r="J48" s="16">
        <v>45</v>
      </c>
      <c r="K48" s="16">
        <v>46</v>
      </c>
      <c r="L48" s="16">
        <v>13</v>
      </c>
      <c r="M48" s="80">
        <v>24.322500000000002</v>
      </c>
      <c r="N48" s="104">
        <v>25</v>
      </c>
      <c r="O48" s="64">
        <v>7000</v>
      </c>
      <c r="P48" s="65">
        <f>Table2245789101123510[[#This Row],[PEMBULATAN]]*O48</f>
        <v>175000</v>
      </c>
    </row>
    <row r="49" spans="1:16" ht="25.5" customHeight="1" x14ac:dyDescent="0.2">
      <c r="A49" s="14"/>
      <c r="B49" s="75"/>
      <c r="C49" s="73" t="s">
        <v>244</v>
      </c>
      <c r="D49" s="77" t="s">
        <v>99</v>
      </c>
      <c r="E49" s="13" t="s">
        <v>291</v>
      </c>
      <c r="F49" s="76" t="s">
        <v>100</v>
      </c>
      <c r="G49" s="13">
        <v>44499.916666666664</v>
      </c>
      <c r="H49" s="95" t="s">
        <v>292</v>
      </c>
      <c r="I49" s="16">
        <v>47</v>
      </c>
      <c r="J49" s="16">
        <v>45</v>
      </c>
      <c r="K49" s="16">
        <v>46</v>
      </c>
      <c r="L49" s="16">
        <v>13</v>
      </c>
      <c r="M49" s="80">
        <v>24.322500000000002</v>
      </c>
      <c r="N49" s="104">
        <v>25</v>
      </c>
      <c r="O49" s="64">
        <v>7000</v>
      </c>
      <c r="P49" s="65">
        <f>Table2245789101123510[[#This Row],[PEMBULATAN]]*O49</f>
        <v>175000</v>
      </c>
    </row>
    <row r="50" spans="1:16" ht="25.5" customHeight="1" x14ac:dyDescent="0.2">
      <c r="A50" s="14"/>
      <c r="B50" s="75"/>
      <c r="C50" s="73" t="s">
        <v>245</v>
      </c>
      <c r="D50" s="77" t="s">
        <v>99</v>
      </c>
      <c r="E50" s="13" t="s">
        <v>291</v>
      </c>
      <c r="F50" s="76" t="s">
        <v>100</v>
      </c>
      <c r="G50" s="13">
        <v>44499.916666666664</v>
      </c>
      <c r="H50" s="95" t="s">
        <v>292</v>
      </c>
      <c r="I50" s="16">
        <v>47</v>
      </c>
      <c r="J50" s="16">
        <v>45</v>
      </c>
      <c r="K50" s="16">
        <v>46</v>
      </c>
      <c r="L50" s="16">
        <v>13</v>
      </c>
      <c r="M50" s="80">
        <v>24.322500000000002</v>
      </c>
      <c r="N50" s="104">
        <v>25</v>
      </c>
      <c r="O50" s="64">
        <v>7000</v>
      </c>
      <c r="P50" s="65">
        <f>Table2245789101123510[[#This Row],[PEMBULATAN]]*O50</f>
        <v>175000</v>
      </c>
    </row>
    <row r="51" spans="1:16" ht="25.5" customHeight="1" x14ac:dyDescent="0.2">
      <c r="A51" s="14"/>
      <c r="B51" s="75"/>
      <c r="C51" s="73" t="s">
        <v>246</v>
      </c>
      <c r="D51" s="77" t="s">
        <v>99</v>
      </c>
      <c r="E51" s="13" t="s">
        <v>291</v>
      </c>
      <c r="F51" s="76" t="s">
        <v>100</v>
      </c>
      <c r="G51" s="13">
        <v>44499.916666666664</v>
      </c>
      <c r="H51" s="95" t="s">
        <v>292</v>
      </c>
      <c r="I51" s="16">
        <v>47</v>
      </c>
      <c r="J51" s="16">
        <v>45</v>
      </c>
      <c r="K51" s="16">
        <v>46</v>
      </c>
      <c r="L51" s="16">
        <v>13</v>
      </c>
      <c r="M51" s="80">
        <v>24.322500000000002</v>
      </c>
      <c r="N51" s="104">
        <v>25</v>
      </c>
      <c r="O51" s="64">
        <v>7000</v>
      </c>
      <c r="P51" s="65">
        <f>Table2245789101123510[[#This Row],[PEMBULATAN]]*O51</f>
        <v>175000</v>
      </c>
    </row>
    <row r="52" spans="1:16" ht="25.5" customHeight="1" x14ac:dyDescent="0.2">
      <c r="A52" s="14"/>
      <c r="B52" s="75"/>
      <c r="C52" s="73" t="s">
        <v>247</v>
      </c>
      <c r="D52" s="77" t="s">
        <v>99</v>
      </c>
      <c r="E52" s="13" t="s">
        <v>291</v>
      </c>
      <c r="F52" s="76" t="s">
        <v>100</v>
      </c>
      <c r="G52" s="13">
        <v>44499.916666666664</v>
      </c>
      <c r="H52" s="95" t="s">
        <v>292</v>
      </c>
      <c r="I52" s="16">
        <v>47</v>
      </c>
      <c r="J52" s="16">
        <v>45</v>
      </c>
      <c r="K52" s="16">
        <v>46</v>
      </c>
      <c r="L52" s="16">
        <v>13</v>
      </c>
      <c r="M52" s="80">
        <v>24.322500000000002</v>
      </c>
      <c r="N52" s="104">
        <v>25</v>
      </c>
      <c r="O52" s="64">
        <v>7000</v>
      </c>
      <c r="P52" s="65">
        <f>Table2245789101123510[[#This Row],[PEMBULATAN]]*O52</f>
        <v>175000</v>
      </c>
    </row>
    <row r="53" spans="1:16" ht="25.5" customHeight="1" x14ac:dyDescent="0.2">
      <c r="A53" s="14"/>
      <c r="B53" s="75"/>
      <c r="C53" s="73" t="s">
        <v>248</v>
      </c>
      <c r="D53" s="77" t="s">
        <v>99</v>
      </c>
      <c r="E53" s="13" t="s">
        <v>291</v>
      </c>
      <c r="F53" s="76" t="s">
        <v>100</v>
      </c>
      <c r="G53" s="13">
        <v>44499.916666666664</v>
      </c>
      <c r="H53" s="95" t="s">
        <v>292</v>
      </c>
      <c r="I53" s="16">
        <v>47</v>
      </c>
      <c r="J53" s="16">
        <v>45</v>
      </c>
      <c r="K53" s="16">
        <v>46</v>
      </c>
      <c r="L53" s="16">
        <v>13</v>
      </c>
      <c r="M53" s="80">
        <v>24.322500000000002</v>
      </c>
      <c r="N53" s="104">
        <v>25</v>
      </c>
      <c r="O53" s="64">
        <v>7000</v>
      </c>
      <c r="P53" s="65">
        <f>Table2245789101123510[[#This Row],[PEMBULATAN]]*O53</f>
        <v>175000</v>
      </c>
    </row>
    <row r="54" spans="1:16" ht="25.5" customHeight="1" x14ac:dyDescent="0.2">
      <c r="A54" s="14"/>
      <c r="B54" s="75"/>
      <c r="C54" s="73" t="s">
        <v>249</v>
      </c>
      <c r="D54" s="77" t="s">
        <v>99</v>
      </c>
      <c r="E54" s="13" t="s">
        <v>291</v>
      </c>
      <c r="F54" s="76" t="s">
        <v>100</v>
      </c>
      <c r="G54" s="13">
        <v>44499.916666666664</v>
      </c>
      <c r="H54" s="95" t="s">
        <v>292</v>
      </c>
      <c r="I54" s="16">
        <v>47</v>
      </c>
      <c r="J54" s="16">
        <v>45</v>
      </c>
      <c r="K54" s="16">
        <v>46</v>
      </c>
      <c r="L54" s="16">
        <v>13</v>
      </c>
      <c r="M54" s="80">
        <v>24.322500000000002</v>
      </c>
      <c r="N54" s="104">
        <v>2</v>
      </c>
      <c r="O54" s="64">
        <v>7000</v>
      </c>
      <c r="P54" s="65">
        <f>Table2245789101123510[[#This Row],[PEMBULATAN]]*O54</f>
        <v>14000</v>
      </c>
    </row>
    <row r="55" spans="1:16" ht="25.5" customHeight="1" x14ac:dyDescent="0.2">
      <c r="A55" s="14"/>
      <c r="B55" s="75"/>
      <c r="C55" s="73" t="s">
        <v>250</v>
      </c>
      <c r="D55" s="77" t="s">
        <v>99</v>
      </c>
      <c r="E55" s="13" t="s">
        <v>291</v>
      </c>
      <c r="F55" s="76" t="s">
        <v>100</v>
      </c>
      <c r="G55" s="13">
        <v>44499.916666666664</v>
      </c>
      <c r="H55" s="95" t="s">
        <v>292</v>
      </c>
      <c r="I55" s="16">
        <v>75</v>
      </c>
      <c r="J55" s="16">
        <v>60</v>
      </c>
      <c r="K55" s="16">
        <v>40</v>
      </c>
      <c r="L55" s="16">
        <v>31</v>
      </c>
      <c r="M55" s="80">
        <v>45</v>
      </c>
      <c r="N55" s="104">
        <v>45</v>
      </c>
      <c r="O55" s="64">
        <v>7000</v>
      </c>
      <c r="P55" s="65">
        <f>Table2245789101123510[[#This Row],[PEMBULATAN]]*O55</f>
        <v>315000</v>
      </c>
    </row>
    <row r="56" spans="1:16" ht="25.5" customHeight="1" x14ac:dyDescent="0.2">
      <c r="A56" s="14"/>
      <c r="B56" s="75"/>
      <c r="C56" s="73" t="s">
        <v>251</v>
      </c>
      <c r="D56" s="77" t="s">
        <v>99</v>
      </c>
      <c r="E56" s="13" t="s">
        <v>291</v>
      </c>
      <c r="F56" s="76" t="s">
        <v>100</v>
      </c>
      <c r="G56" s="13">
        <v>44499.916666666664</v>
      </c>
      <c r="H56" s="95" t="s">
        <v>292</v>
      </c>
      <c r="I56" s="16">
        <v>75</v>
      </c>
      <c r="J56" s="16">
        <v>60</v>
      </c>
      <c r="K56" s="16">
        <v>40</v>
      </c>
      <c r="L56" s="16">
        <v>31</v>
      </c>
      <c r="M56" s="80">
        <v>45</v>
      </c>
      <c r="N56" s="104">
        <v>45</v>
      </c>
      <c r="O56" s="64">
        <v>7000</v>
      </c>
      <c r="P56" s="65">
        <f>Table2245789101123510[[#This Row],[PEMBULATAN]]*O56</f>
        <v>315000</v>
      </c>
    </row>
    <row r="57" spans="1:16" ht="25.5" customHeight="1" x14ac:dyDescent="0.2">
      <c r="A57" s="14"/>
      <c r="B57" s="75"/>
      <c r="C57" s="73" t="s">
        <v>252</v>
      </c>
      <c r="D57" s="77" t="s">
        <v>99</v>
      </c>
      <c r="E57" s="13" t="s">
        <v>291</v>
      </c>
      <c r="F57" s="76" t="s">
        <v>100</v>
      </c>
      <c r="G57" s="13">
        <v>44499.916666666664</v>
      </c>
      <c r="H57" s="95" t="s">
        <v>292</v>
      </c>
      <c r="I57" s="16">
        <v>75</v>
      </c>
      <c r="J57" s="16">
        <v>60</v>
      </c>
      <c r="K57" s="16">
        <v>40</v>
      </c>
      <c r="L57" s="16">
        <v>31</v>
      </c>
      <c r="M57" s="80">
        <v>45</v>
      </c>
      <c r="N57" s="104">
        <v>45</v>
      </c>
      <c r="O57" s="64">
        <v>7000</v>
      </c>
      <c r="P57" s="65">
        <f>Table2245789101123510[[#This Row],[PEMBULATAN]]*O57</f>
        <v>315000</v>
      </c>
    </row>
    <row r="58" spans="1:16" ht="25.5" customHeight="1" x14ac:dyDescent="0.2">
      <c r="A58" s="14"/>
      <c r="B58" s="75"/>
      <c r="C58" s="73" t="s">
        <v>253</v>
      </c>
      <c r="D58" s="77" t="s">
        <v>99</v>
      </c>
      <c r="E58" s="13" t="s">
        <v>291</v>
      </c>
      <c r="F58" s="76" t="s">
        <v>100</v>
      </c>
      <c r="G58" s="13">
        <v>44499.916666666664</v>
      </c>
      <c r="H58" s="95" t="s">
        <v>292</v>
      </c>
      <c r="I58" s="16">
        <v>83</v>
      </c>
      <c r="J58" s="16">
        <v>82</v>
      </c>
      <c r="K58" s="16">
        <v>23</v>
      </c>
      <c r="L58" s="16">
        <v>13</v>
      </c>
      <c r="M58" s="80">
        <v>39.134500000000003</v>
      </c>
      <c r="N58" s="104">
        <v>39.134500000000003</v>
      </c>
      <c r="O58" s="64">
        <v>7000</v>
      </c>
      <c r="P58" s="65">
        <f>Table2245789101123510[[#This Row],[PEMBULATAN]]*O58</f>
        <v>273941.5</v>
      </c>
    </row>
    <row r="59" spans="1:16" ht="25.5" customHeight="1" x14ac:dyDescent="0.2">
      <c r="A59" s="14"/>
      <c r="B59" s="75"/>
      <c r="C59" s="73" t="s">
        <v>254</v>
      </c>
      <c r="D59" s="77" t="s">
        <v>99</v>
      </c>
      <c r="E59" s="13" t="s">
        <v>291</v>
      </c>
      <c r="F59" s="76" t="s">
        <v>100</v>
      </c>
      <c r="G59" s="13">
        <v>44499.916666666664</v>
      </c>
      <c r="H59" s="95" t="s">
        <v>292</v>
      </c>
      <c r="I59" s="16">
        <v>83</v>
      </c>
      <c r="J59" s="16">
        <v>82</v>
      </c>
      <c r="K59" s="16">
        <v>23</v>
      </c>
      <c r="L59" s="16">
        <v>13</v>
      </c>
      <c r="M59" s="80">
        <v>39.134500000000003</v>
      </c>
      <c r="N59" s="104">
        <v>39.134500000000003</v>
      </c>
      <c r="O59" s="64">
        <v>7000</v>
      </c>
      <c r="P59" s="65">
        <f>Table2245789101123510[[#This Row],[PEMBULATAN]]*O59</f>
        <v>273941.5</v>
      </c>
    </row>
    <row r="60" spans="1:16" ht="25.5" customHeight="1" x14ac:dyDescent="0.2">
      <c r="A60" s="14"/>
      <c r="B60" s="75"/>
      <c r="C60" s="73" t="s">
        <v>255</v>
      </c>
      <c r="D60" s="77" t="s">
        <v>99</v>
      </c>
      <c r="E60" s="13" t="s">
        <v>291</v>
      </c>
      <c r="F60" s="76" t="s">
        <v>100</v>
      </c>
      <c r="G60" s="13">
        <v>44499.916666666664</v>
      </c>
      <c r="H60" s="95" t="s">
        <v>292</v>
      </c>
      <c r="I60" s="16">
        <v>83</v>
      </c>
      <c r="J60" s="16">
        <v>82</v>
      </c>
      <c r="K60" s="16">
        <v>23</v>
      </c>
      <c r="L60" s="16">
        <v>13</v>
      </c>
      <c r="M60" s="80">
        <v>39.134500000000003</v>
      </c>
      <c r="N60" s="104">
        <v>39.134500000000003</v>
      </c>
      <c r="O60" s="64">
        <v>7000</v>
      </c>
      <c r="P60" s="65">
        <f>Table2245789101123510[[#This Row],[PEMBULATAN]]*O60</f>
        <v>273941.5</v>
      </c>
    </row>
    <row r="61" spans="1:16" ht="25.5" customHeight="1" x14ac:dyDescent="0.2">
      <c r="A61" s="14"/>
      <c r="B61" s="75"/>
      <c r="C61" s="73" t="s">
        <v>256</v>
      </c>
      <c r="D61" s="77" t="s">
        <v>99</v>
      </c>
      <c r="E61" s="13" t="s">
        <v>291</v>
      </c>
      <c r="F61" s="76" t="s">
        <v>100</v>
      </c>
      <c r="G61" s="13">
        <v>44499.916666666664</v>
      </c>
      <c r="H61" s="95" t="s">
        <v>292</v>
      </c>
      <c r="I61" s="16">
        <v>54</v>
      </c>
      <c r="J61" s="16">
        <v>35</v>
      </c>
      <c r="K61" s="16">
        <v>35</v>
      </c>
      <c r="L61" s="16">
        <v>13</v>
      </c>
      <c r="M61" s="80">
        <v>16.537500000000001</v>
      </c>
      <c r="N61" s="104">
        <v>16.537500000000001</v>
      </c>
      <c r="O61" s="64">
        <v>7000</v>
      </c>
      <c r="P61" s="65">
        <f>Table2245789101123510[[#This Row],[PEMBULATAN]]*O61</f>
        <v>115762.50000000001</v>
      </c>
    </row>
    <row r="62" spans="1:16" ht="25.5" customHeight="1" x14ac:dyDescent="0.2">
      <c r="A62" s="14"/>
      <c r="B62" s="75"/>
      <c r="C62" s="73" t="s">
        <v>257</v>
      </c>
      <c r="D62" s="77" t="s">
        <v>99</v>
      </c>
      <c r="E62" s="13" t="s">
        <v>291</v>
      </c>
      <c r="F62" s="76" t="s">
        <v>100</v>
      </c>
      <c r="G62" s="13">
        <v>44499.916666666664</v>
      </c>
      <c r="H62" s="95" t="s">
        <v>292</v>
      </c>
      <c r="I62" s="16">
        <v>54</v>
      </c>
      <c r="J62" s="16">
        <v>35</v>
      </c>
      <c r="K62" s="16">
        <v>35</v>
      </c>
      <c r="L62" s="16">
        <v>13</v>
      </c>
      <c r="M62" s="80">
        <v>16.537500000000001</v>
      </c>
      <c r="N62" s="104">
        <v>16.537500000000001</v>
      </c>
      <c r="O62" s="64">
        <v>7000</v>
      </c>
      <c r="P62" s="65">
        <f>Table2245789101123510[[#This Row],[PEMBULATAN]]*O62</f>
        <v>115762.50000000001</v>
      </c>
    </row>
    <row r="63" spans="1:16" ht="25.5" customHeight="1" x14ac:dyDescent="0.2">
      <c r="A63" s="14"/>
      <c r="B63" s="75"/>
      <c r="C63" s="73" t="s">
        <v>258</v>
      </c>
      <c r="D63" s="77" t="s">
        <v>99</v>
      </c>
      <c r="E63" s="13" t="s">
        <v>291</v>
      </c>
      <c r="F63" s="76" t="s">
        <v>100</v>
      </c>
      <c r="G63" s="13">
        <v>44499.916666666664</v>
      </c>
      <c r="H63" s="95" t="s">
        <v>292</v>
      </c>
      <c r="I63" s="16">
        <v>84</v>
      </c>
      <c r="J63" s="16">
        <v>84</v>
      </c>
      <c r="K63" s="16">
        <v>40</v>
      </c>
      <c r="L63" s="16">
        <v>13</v>
      </c>
      <c r="M63" s="80">
        <v>70.56</v>
      </c>
      <c r="N63" s="104">
        <v>70.56</v>
      </c>
      <c r="O63" s="64">
        <v>7000</v>
      </c>
      <c r="P63" s="65">
        <f>Table2245789101123510[[#This Row],[PEMBULATAN]]*O63</f>
        <v>493920</v>
      </c>
    </row>
    <row r="64" spans="1:16" ht="25.5" customHeight="1" x14ac:dyDescent="0.2">
      <c r="A64" s="14"/>
      <c r="B64" s="75"/>
      <c r="C64" s="73" t="s">
        <v>259</v>
      </c>
      <c r="D64" s="77" t="s">
        <v>99</v>
      </c>
      <c r="E64" s="13" t="s">
        <v>291</v>
      </c>
      <c r="F64" s="76" t="s">
        <v>100</v>
      </c>
      <c r="G64" s="13">
        <v>44499.916666666664</v>
      </c>
      <c r="H64" s="95" t="s">
        <v>292</v>
      </c>
      <c r="I64" s="16">
        <v>84</v>
      </c>
      <c r="J64" s="16">
        <v>84</v>
      </c>
      <c r="K64" s="16">
        <v>40</v>
      </c>
      <c r="L64" s="16">
        <v>13</v>
      </c>
      <c r="M64" s="80">
        <v>70.56</v>
      </c>
      <c r="N64" s="104">
        <v>70.56</v>
      </c>
      <c r="O64" s="64">
        <v>7000</v>
      </c>
      <c r="P64" s="65">
        <f>Table2245789101123510[[#This Row],[PEMBULATAN]]*O64</f>
        <v>493920</v>
      </c>
    </row>
    <row r="65" spans="1:16" ht="25.5" customHeight="1" x14ac:dyDescent="0.2">
      <c r="A65" s="14"/>
      <c r="B65" s="75"/>
      <c r="C65" s="73" t="s">
        <v>260</v>
      </c>
      <c r="D65" s="77" t="s">
        <v>99</v>
      </c>
      <c r="E65" s="13" t="s">
        <v>291</v>
      </c>
      <c r="F65" s="76" t="s">
        <v>100</v>
      </c>
      <c r="G65" s="13">
        <v>44499.916666666664</v>
      </c>
      <c r="H65" s="95" t="s">
        <v>292</v>
      </c>
      <c r="I65" s="16">
        <v>84</v>
      </c>
      <c r="J65" s="16">
        <v>84</v>
      </c>
      <c r="K65" s="16">
        <v>40</v>
      </c>
      <c r="L65" s="16">
        <v>13</v>
      </c>
      <c r="M65" s="80">
        <v>70.56</v>
      </c>
      <c r="N65" s="104">
        <v>70.56</v>
      </c>
      <c r="O65" s="64">
        <v>7000</v>
      </c>
      <c r="P65" s="65">
        <f>Table2245789101123510[[#This Row],[PEMBULATAN]]*O65</f>
        <v>493920</v>
      </c>
    </row>
    <row r="66" spans="1:16" ht="25.5" customHeight="1" x14ac:dyDescent="0.2">
      <c r="A66" s="14"/>
      <c r="B66" s="75"/>
      <c r="C66" s="73" t="s">
        <v>261</v>
      </c>
      <c r="D66" s="77" t="s">
        <v>99</v>
      </c>
      <c r="E66" s="13" t="s">
        <v>291</v>
      </c>
      <c r="F66" s="76" t="s">
        <v>100</v>
      </c>
      <c r="G66" s="13">
        <v>44499.916666666664</v>
      </c>
      <c r="H66" s="95" t="s">
        <v>292</v>
      </c>
      <c r="I66" s="16">
        <v>84</v>
      </c>
      <c r="J66" s="16">
        <v>84</v>
      </c>
      <c r="K66" s="16">
        <v>40</v>
      </c>
      <c r="L66" s="16">
        <v>13</v>
      </c>
      <c r="M66" s="80">
        <v>70.56</v>
      </c>
      <c r="N66" s="104">
        <v>70.56</v>
      </c>
      <c r="O66" s="64">
        <v>7000</v>
      </c>
      <c r="P66" s="65">
        <f>Table2245789101123510[[#This Row],[PEMBULATAN]]*O66</f>
        <v>493920</v>
      </c>
    </row>
    <row r="67" spans="1:16" ht="25.5" customHeight="1" x14ac:dyDescent="0.2">
      <c r="A67" s="14"/>
      <c r="B67" s="75"/>
      <c r="C67" s="73" t="s">
        <v>262</v>
      </c>
      <c r="D67" s="77" t="s">
        <v>99</v>
      </c>
      <c r="E67" s="13" t="s">
        <v>291</v>
      </c>
      <c r="F67" s="76" t="s">
        <v>100</v>
      </c>
      <c r="G67" s="13">
        <v>44499.916666666664</v>
      </c>
      <c r="H67" s="95" t="s">
        <v>292</v>
      </c>
      <c r="I67" s="16">
        <v>84</v>
      </c>
      <c r="J67" s="16">
        <v>84</v>
      </c>
      <c r="K67" s="16">
        <v>40</v>
      </c>
      <c r="L67" s="16">
        <v>13</v>
      </c>
      <c r="M67" s="80">
        <v>70.56</v>
      </c>
      <c r="N67" s="104">
        <v>70.56</v>
      </c>
      <c r="O67" s="64">
        <v>7000</v>
      </c>
      <c r="P67" s="65">
        <f>Table2245789101123510[[#This Row],[PEMBULATAN]]*O67</f>
        <v>493920</v>
      </c>
    </row>
    <row r="68" spans="1:16" ht="25.5" customHeight="1" x14ac:dyDescent="0.2">
      <c r="A68" s="14"/>
      <c r="B68" s="75"/>
      <c r="C68" s="73" t="s">
        <v>263</v>
      </c>
      <c r="D68" s="77" t="s">
        <v>99</v>
      </c>
      <c r="E68" s="13" t="s">
        <v>291</v>
      </c>
      <c r="F68" s="76" t="s">
        <v>100</v>
      </c>
      <c r="G68" s="13">
        <v>44499.916666666664</v>
      </c>
      <c r="H68" s="95" t="s">
        <v>292</v>
      </c>
      <c r="I68" s="16">
        <v>84</v>
      </c>
      <c r="J68" s="16">
        <v>84</v>
      </c>
      <c r="K68" s="16">
        <v>40</v>
      </c>
      <c r="L68" s="16">
        <v>13</v>
      </c>
      <c r="M68" s="80">
        <v>70.56</v>
      </c>
      <c r="N68" s="104">
        <v>70.56</v>
      </c>
      <c r="O68" s="64">
        <v>7000</v>
      </c>
      <c r="P68" s="65">
        <f>Table2245789101123510[[#This Row],[PEMBULATAN]]*O68</f>
        <v>493920</v>
      </c>
    </row>
    <row r="69" spans="1:16" ht="25.5" customHeight="1" x14ac:dyDescent="0.2">
      <c r="A69" s="14"/>
      <c r="B69" s="75"/>
      <c r="C69" s="73" t="s">
        <v>264</v>
      </c>
      <c r="D69" s="77" t="s">
        <v>99</v>
      </c>
      <c r="E69" s="13" t="s">
        <v>291</v>
      </c>
      <c r="F69" s="76" t="s">
        <v>100</v>
      </c>
      <c r="G69" s="13">
        <v>44499.916666666664</v>
      </c>
      <c r="H69" s="95" t="s">
        <v>292</v>
      </c>
      <c r="I69" s="16">
        <v>84</v>
      </c>
      <c r="J69" s="16">
        <v>84</v>
      </c>
      <c r="K69" s="16">
        <v>40</v>
      </c>
      <c r="L69" s="16">
        <v>13</v>
      </c>
      <c r="M69" s="80">
        <v>70.56</v>
      </c>
      <c r="N69" s="104">
        <v>70.56</v>
      </c>
      <c r="O69" s="64">
        <v>7000</v>
      </c>
      <c r="P69" s="65">
        <f>Table2245789101123510[[#This Row],[PEMBULATAN]]*O69</f>
        <v>493920</v>
      </c>
    </row>
    <row r="70" spans="1:16" ht="25.5" customHeight="1" x14ac:dyDescent="0.2">
      <c r="A70" s="14"/>
      <c r="B70" s="75"/>
      <c r="C70" s="73" t="s">
        <v>265</v>
      </c>
      <c r="D70" s="77" t="s">
        <v>99</v>
      </c>
      <c r="E70" s="13" t="s">
        <v>291</v>
      </c>
      <c r="F70" s="76" t="s">
        <v>100</v>
      </c>
      <c r="G70" s="13">
        <v>44499.916666666664</v>
      </c>
      <c r="H70" s="95" t="s">
        <v>292</v>
      </c>
      <c r="I70" s="16">
        <v>84</v>
      </c>
      <c r="J70" s="16">
        <v>84</v>
      </c>
      <c r="K70" s="16">
        <v>40</v>
      </c>
      <c r="L70" s="16">
        <v>13</v>
      </c>
      <c r="M70" s="80">
        <v>70.56</v>
      </c>
      <c r="N70" s="104">
        <v>70.56</v>
      </c>
      <c r="O70" s="64">
        <v>7000</v>
      </c>
      <c r="P70" s="65">
        <f>Table2245789101123510[[#This Row],[PEMBULATAN]]*O70</f>
        <v>493920</v>
      </c>
    </row>
    <row r="71" spans="1:16" ht="25.5" customHeight="1" x14ac:dyDescent="0.2">
      <c r="A71" s="14"/>
      <c r="B71" s="75"/>
      <c r="C71" s="73" t="s">
        <v>266</v>
      </c>
      <c r="D71" s="77" t="s">
        <v>99</v>
      </c>
      <c r="E71" s="13" t="s">
        <v>291</v>
      </c>
      <c r="F71" s="76" t="s">
        <v>100</v>
      </c>
      <c r="G71" s="13">
        <v>44499.916666666664</v>
      </c>
      <c r="H71" s="95" t="s">
        <v>292</v>
      </c>
      <c r="I71" s="16">
        <v>84</v>
      </c>
      <c r="J71" s="16">
        <v>84</v>
      </c>
      <c r="K71" s="16">
        <v>40</v>
      </c>
      <c r="L71" s="16">
        <v>13</v>
      </c>
      <c r="M71" s="80">
        <v>70.56</v>
      </c>
      <c r="N71" s="104">
        <v>70.56</v>
      </c>
      <c r="O71" s="64">
        <v>7000</v>
      </c>
      <c r="P71" s="65">
        <f>Table2245789101123510[[#This Row],[PEMBULATAN]]*O71</f>
        <v>493920</v>
      </c>
    </row>
    <row r="72" spans="1:16" ht="25.5" customHeight="1" x14ac:dyDescent="0.2">
      <c r="A72" s="14"/>
      <c r="B72" s="75"/>
      <c r="C72" s="73" t="s">
        <v>267</v>
      </c>
      <c r="D72" s="77" t="s">
        <v>99</v>
      </c>
      <c r="E72" s="13" t="s">
        <v>291</v>
      </c>
      <c r="F72" s="76" t="s">
        <v>100</v>
      </c>
      <c r="G72" s="13">
        <v>44499.916666666664</v>
      </c>
      <c r="H72" s="95" t="s">
        <v>292</v>
      </c>
      <c r="I72" s="16">
        <v>84</v>
      </c>
      <c r="J72" s="16">
        <v>84</v>
      </c>
      <c r="K72" s="16">
        <v>40</v>
      </c>
      <c r="L72" s="16">
        <v>13</v>
      </c>
      <c r="M72" s="80">
        <v>70.56</v>
      </c>
      <c r="N72" s="104">
        <v>70.56</v>
      </c>
      <c r="O72" s="64">
        <v>7000</v>
      </c>
      <c r="P72" s="65">
        <f>Table2245789101123510[[#This Row],[PEMBULATAN]]*O72</f>
        <v>493920</v>
      </c>
    </row>
    <row r="73" spans="1:16" ht="25.5" customHeight="1" x14ac:dyDescent="0.2">
      <c r="A73" s="14"/>
      <c r="B73" s="75"/>
      <c r="C73" s="73" t="s">
        <v>268</v>
      </c>
      <c r="D73" s="77" t="s">
        <v>99</v>
      </c>
      <c r="E73" s="13" t="s">
        <v>291</v>
      </c>
      <c r="F73" s="76" t="s">
        <v>100</v>
      </c>
      <c r="G73" s="13">
        <v>44499.916666666664</v>
      </c>
      <c r="H73" s="95" t="s">
        <v>292</v>
      </c>
      <c r="I73" s="16">
        <v>84</v>
      </c>
      <c r="J73" s="16">
        <v>84</v>
      </c>
      <c r="K73" s="16">
        <v>40</v>
      </c>
      <c r="L73" s="16">
        <v>13</v>
      </c>
      <c r="M73" s="80">
        <v>70.56</v>
      </c>
      <c r="N73" s="104">
        <v>70.56</v>
      </c>
      <c r="O73" s="64">
        <v>7000</v>
      </c>
      <c r="P73" s="65">
        <f>Table2245789101123510[[#This Row],[PEMBULATAN]]*O73</f>
        <v>493920</v>
      </c>
    </row>
    <row r="74" spans="1:16" ht="25.5" customHeight="1" x14ac:dyDescent="0.2">
      <c r="A74" s="14"/>
      <c r="B74" s="75"/>
      <c r="C74" s="73" t="s">
        <v>269</v>
      </c>
      <c r="D74" s="77" t="s">
        <v>99</v>
      </c>
      <c r="E74" s="13" t="s">
        <v>291</v>
      </c>
      <c r="F74" s="76" t="s">
        <v>100</v>
      </c>
      <c r="G74" s="13">
        <v>44499.916666666664</v>
      </c>
      <c r="H74" s="95" t="s">
        <v>292</v>
      </c>
      <c r="I74" s="16">
        <v>84</v>
      </c>
      <c r="J74" s="16">
        <v>84</v>
      </c>
      <c r="K74" s="16">
        <v>40</v>
      </c>
      <c r="L74" s="16">
        <v>13</v>
      </c>
      <c r="M74" s="80">
        <v>70.56</v>
      </c>
      <c r="N74" s="104">
        <v>70.56</v>
      </c>
      <c r="O74" s="64">
        <v>7000</v>
      </c>
      <c r="P74" s="65">
        <f>Table2245789101123510[[#This Row],[PEMBULATAN]]*O74</f>
        <v>493920</v>
      </c>
    </row>
    <row r="75" spans="1:16" ht="25.5" customHeight="1" x14ac:dyDescent="0.2">
      <c r="A75" s="14"/>
      <c r="B75" s="75"/>
      <c r="C75" s="73" t="s">
        <v>270</v>
      </c>
      <c r="D75" s="77" t="s">
        <v>99</v>
      </c>
      <c r="E75" s="13" t="s">
        <v>291</v>
      </c>
      <c r="F75" s="76" t="s">
        <v>100</v>
      </c>
      <c r="G75" s="13">
        <v>44499.916666666664</v>
      </c>
      <c r="H75" s="95" t="s">
        <v>292</v>
      </c>
      <c r="I75" s="16">
        <v>84</v>
      </c>
      <c r="J75" s="16">
        <v>84</v>
      </c>
      <c r="K75" s="16">
        <v>40</v>
      </c>
      <c r="L75" s="16">
        <v>13</v>
      </c>
      <c r="M75" s="80">
        <v>70.56</v>
      </c>
      <c r="N75" s="104">
        <v>70.56</v>
      </c>
      <c r="O75" s="64">
        <v>7000</v>
      </c>
      <c r="P75" s="65">
        <f>Table2245789101123510[[#This Row],[PEMBULATAN]]*O75</f>
        <v>493920</v>
      </c>
    </row>
    <row r="76" spans="1:16" ht="25.5" customHeight="1" x14ac:dyDescent="0.2">
      <c r="A76" s="14"/>
      <c r="B76" s="75"/>
      <c r="C76" s="73" t="s">
        <v>271</v>
      </c>
      <c r="D76" s="77" t="s">
        <v>99</v>
      </c>
      <c r="E76" s="13" t="s">
        <v>291</v>
      </c>
      <c r="F76" s="76" t="s">
        <v>100</v>
      </c>
      <c r="G76" s="13">
        <v>44499.916666666664</v>
      </c>
      <c r="H76" s="95" t="s">
        <v>292</v>
      </c>
      <c r="I76" s="16">
        <v>84</v>
      </c>
      <c r="J76" s="16">
        <v>84</v>
      </c>
      <c r="K76" s="16">
        <v>40</v>
      </c>
      <c r="L76" s="16">
        <v>13</v>
      </c>
      <c r="M76" s="80">
        <v>70.56</v>
      </c>
      <c r="N76" s="104">
        <v>70.56</v>
      </c>
      <c r="O76" s="64">
        <v>7000</v>
      </c>
      <c r="P76" s="65">
        <f>Table2245789101123510[[#This Row],[PEMBULATAN]]*O76</f>
        <v>493920</v>
      </c>
    </row>
    <row r="77" spans="1:16" ht="25.5" customHeight="1" x14ac:dyDescent="0.2">
      <c r="A77" s="14"/>
      <c r="B77" s="75"/>
      <c r="C77" s="73" t="s">
        <v>272</v>
      </c>
      <c r="D77" s="77" t="s">
        <v>99</v>
      </c>
      <c r="E77" s="13" t="s">
        <v>291</v>
      </c>
      <c r="F77" s="76" t="s">
        <v>100</v>
      </c>
      <c r="G77" s="13">
        <v>44499.916666666664</v>
      </c>
      <c r="H77" s="95" t="s">
        <v>292</v>
      </c>
      <c r="I77" s="16">
        <v>84</v>
      </c>
      <c r="J77" s="16">
        <v>84</v>
      </c>
      <c r="K77" s="16">
        <v>40</v>
      </c>
      <c r="L77" s="16">
        <v>13</v>
      </c>
      <c r="M77" s="80">
        <v>70.56</v>
      </c>
      <c r="N77" s="104">
        <v>70.56</v>
      </c>
      <c r="O77" s="64">
        <v>7000</v>
      </c>
      <c r="P77" s="65">
        <f>Table2245789101123510[[#This Row],[PEMBULATAN]]*O77</f>
        <v>493920</v>
      </c>
    </row>
    <row r="78" spans="1:16" ht="25.5" customHeight="1" x14ac:dyDescent="0.2">
      <c r="A78" s="14"/>
      <c r="B78" s="75"/>
      <c r="C78" s="73" t="s">
        <v>273</v>
      </c>
      <c r="D78" s="77" t="s">
        <v>99</v>
      </c>
      <c r="E78" s="13" t="s">
        <v>291</v>
      </c>
      <c r="F78" s="76" t="s">
        <v>100</v>
      </c>
      <c r="G78" s="13">
        <v>44499.916666666664</v>
      </c>
      <c r="H78" s="95" t="s">
        <v>292</v>
      </c>
      <c r="I78" s="16">
        <v>84</v>
      </c>
      <c r="J78" s="16">
        <v>84</v>
      </c>
      <c r="K78" s="16">
        <v>40</v>
      </c>
      <c r="L78" s="16">
        <v>13</v>
      </c>
      <c r="M78" s="80">
        <v>70.56</v>
      </c>
      <c r="N78" s="104">
        <v>70.56</v>
      </c>
      <c r="O78" s="64">
        <v>7000</v>
      </c>
      <c r="P78" s="65">
        <f>Table2245789101123510[[#This Row],[PEMBULATAN]]*O78</f>
        <v>493920</v>
      </c>
    </row>
    <row r="79" spans="1:16" ht="25.5" customHeight="1" x14ac:dyDescent="0.2">
      <c r="A79" s="14"/>
      <c r="B79" s="75"/>
      <c r="C79" s="73" t="s">
        <v>274</v>
      </c>
      <c r="D79" s="77" t="s">
        <v>99</v>
      </c>
      <c r="E79" s="13" t="s">
        <v>291</v>
      </c>
      <c r="F79" s="76" t="s">
        <v>100</v>
      </c>
      <c r="G79" s="13">
        <v>44499.916666666664</v>
      </c>
      <c r="H79" s="95" t="s">
        <v>292</v>
      </c>
      <c r="I79" s="16">
        <v>150</v>
      </c>
      <c r="J79" s="16">
        <v>64</v>
      </c>
      <c r="K79" s="16">
        <v>10</v>
      </c>
      <c r="L79" s="16">
        <v>13</v>
      </c>
      <c r="M79" s="80">
        <v>24</v>
      </c>
      <c r="N79" s="104">
        <v>24</v>
      </c>
      <c r="O79" s="64">
        <v>7000</v>
      </c>
      <c r="P79" s="65">
        <f>Table2245789101123510[[#This Row],[PEMBULATAN]]*O79</f>
        <v>168000</v>
      </c>
    </row>
    <row r="80" spans="1:16" ht="25.5" customHeight="1" x14ac:dyDescent="0.2">
      <c r="A80" s="14"/>
      <c r="B80" s="75"/>
      <c r="C80" s="73" t="s">
        <v>275</v>
      </c>
      <c r="D80" s="77" t="s">
        <v>99</v>
      </c>
      <c r="E80" s="13" t="s">
        <v>291</v>
      </c>
      <c r="F80" s="76" t="s">
        <v>100</v>
      </c>
      <c r="G80" s="13">
        <v>44499.916666666664</v>
      </c>
      <c r="H80" s="95" t="s">
        <v>292</v>
      </c>
      <c r="I80" s="16">
        <v>150</v>
      </c>
      <c r="J80" s="16">
        <v>64</v>
      </c>
      <c r="K80" s="16">
        <v>10</v>
      </c>
      <c r="L80" s="16">
        <v>13</v>
      </c>
      <c r="M80" s="80">
        <v>24</v>
      </c>
      <c r="N80" s="104">
        <v>24</v>
      </c>
      <c r="O80" s="64">
        <v>7000</v>
      </c>
      <c r="P80" s="65">
        <f>Table2245789101123510[[#This Row],[PEMBULATAN]]*O80</f>
        <v>168000</v>
      </c>
    </row>
    <row r="81" spans="1:16" ht="25.5" customHeight="1" x14ac:dyDescent="0.2">
      <c r="A81" s="14"/>
      <c r="B81" s="75"/>
      <c r="C81" s="73" t="s">
        <v>276</v>
      </c>
      <c r="D81" s="77" t="s">
        <v>99</v>
      </c>
      <c r="E81" s="13" t="s">
        <v>291</v>
      </c>
      <c r="F81" s="76" t="s">
        <v>100</v>
      </c>
      <c r="G81" s="13">
        <v>44499.916666666664</v>
      </c>
      <c r="H81" s="95" t="s">
        <v>292</v>
      </c>
      <c r="I81" s="16">
        <v>150</v>
      </c>
      <c r="J81" s="16">
        <v>64</v>
      </c>
      <c r="K81" s="16">
        <v>10</v>
      </c>
      <c r="L81" s="16">
        <v>13</v>
      </c>
      <c r="M81" s="80">
        <v>24</v>
      </c>
      <c r="N81" s="104">
        <v>24</v>
      </c>
      <c r="O81" s="64">
        <v>7000</v>
      </c>
      <c r="P81" s="65">
        <f>Table2245789101123510[[#This Row],[PEMBULATAN]]*O81</f>
        <v>168000</v>
      </c>
    </row>
    <row r="82" spans="1:16" ht="25.5" customHeight="1" x14ac:dyDescent="0.2">
      <c r="A82" s="14"/>
      <c r="B82" s="75"/>
      <c r="C82" s="73" t="s">
        <v>277</v>
      </c>
      <c r="D82" s="77" t="s">
        <v>99</v>
      </c>
      <c r="E82" s="13" t="s">
        <v>291</v>
      </c>
      <c r="F82" s="76" t="s">
        <v>100</v>
      </c>
      <c r="G82" s="13">
        <v>44499.916666666664</v>
      </c>
      <c r="H82" s="95" t="s">
        <v>292</v>
      </c>
      <c r="I82" s="16">
        <v>150</v>
      </c>
      <c r="J82" s="16">
        <v>64</v>
      </c>
      <c r="K82" s="16">
        <v>10</v>
      </c>
      <c r="L82" s="16">
        <v>13</v>
      </c>
      <c r="M82" s="80">
        <v>24</v>
      </c>
      <c r="N82" s="104">
        <v>24</v>
      </c>
      <c r="O82" s="64">
        <v>7000</v>
      </c>
      <c r="P82" s="65">
        <f>Table2245789101123510[[#This Row],[PEMBULATAN]]*O82</f>
        <v>168000</v>
      </c>
    </row>
    <row r="83" spans="1:16" ht="25.5" customHeight="1" x14ac:dyDescent="0.2">
      <c r="A83" s="14"/>
      <c r="B83" s="75"/>
      <c r="C83" s="73" t="s">
        <v>278</v>
      </c>
      <c r="D83" s="77" t="s">
        <v>99</v>
      </c>
      <c r="E83" s="13" t="s">
        <v>291</v>
      </c>
      <c r="F83" s="76" t="s">
        <v>100</v>
      </c>
      <c r="G83" s="13">
        <v>44499.916666666664</v>
      </c>
      <c r="H83" s="95" t="s">
        <v>292</v>
      </c>
      <c r="I83" s="16">
        <v>150</v>
      </c>
      <c r="J83" s="16">
        <v>64</v>
      </c>
      <c r="K83" s="16">
        <v>10</v>
      </c>
      <c r="L83" s="16">
        <v>13</v>
      </c>
      <c r="M83" s="80">
        <v>24</v>
      </c>
      <c r="N83" s="104">
        <v>24</v>
      </c>
      <c r="O83" s="64">
        <v>7000</v>
      </c>
      <c r="P83" s="65">
        <f>Table2245789101123510[[#This Row],[PEMBULATAN]]*O83</f>
        <v>168000</v>
      </c>
    </row>
    <row r="84" spans="1:16" ht="25.5" customHeight="1" x14ac:dyDescent="0.2">
      <c r="A84" s="14"/>
      <c r="B84" s="75"/>
      <c r="C84" s="73" t="s">
        <v>279</v>
      </c>
      <c r="D84" s="77" t="s">
        <v>99</v>
      </c>
      <c r="E84" s="13" t="s">
        <v>291</v>
      </c>
      <c r="F84" s="76" t="s">
        <v>100</v>
      </c>
      <c r="G84" s="13">
        <v>44499.916666666664</v>
      </c>
      <c r="H84" s="95" t="s">
        <v>292</v>
      </c>
      <c r="I84" s="16">
        <v>150</v>
      </c>
      <c r="J84" s="16">
        <v>64</v>
      </c>
      <c r="K84" s="16">
        <v>10</v>
      </c>
      <c r="L84" s="16">
        <v>13</v>
      </c>
      <c r="M84" s="80">
        <v>24</v>
      </c>
      <c r="N84" s="104">
        <v>24</v>
      </c>
      <c r="O84" s="64">
        <v>7000</v>
      </c>
      <c r="P84" s="65">
        <f>Table2245789101123510[[#This Row],[PEMBULATAN]]*O84</f>
        <v>168000</v>
      </c>
    </row>
    <row r="85" spans="1:16" ht="25.5" customHeight="1" x14ac:dyDescent="0.2">
      <c r="A85" s="14"/>
      <c r="B85" s="75"/>
      <c r="C85" s="73" t="s">
        <v>280</v>
      </c>
      <c r="D85" s="77" t="s">
        <v>99</v>
      </c>
      <c r="E85" s="13" t="s">
        <v>291</v>
      </c>
      <c r="F85" s="76" t="s">
        <v>100</v>
      </c>
      <c r="G85" s="13">
        <v>44499.916666666664</v>
      </c>
      <c r="H85" s="95" t="s">
        <v>292</v>
      </c>
      <c r="I85" s="16">
        <v>150</v>
      </c>
      <c r="J85" s="16">
        <v>64</v>
      </c>
      <c r="K85" s="16">
        <v>10</v>
      </c>
      <c r="L85" s="16">
        <v>13</v>
      </c>
      <c r="M85" s="80">
        <v>24</v>
      </c>
      <c r="N85" s="104">
        <v>24</v>
      </c>
      <c r="O85" s="64">
        <v>7000</v>
      </c>
      <c r="P85" s="65">
        <f>Table2245789101123510[[#This Row],[PEMBULATAN]]*O85</f>
        <v>168000</v>
      </c>
    </row>
    <row r="86" spans="1:16" ht="25.5" customHeight="1" x14ac:dyDescent="0.2">
      <c r="A86" s="14"/>
      <c r="B86" s="75"/>
      <c r="C86" s="73" t="s">
        <v>281</v>
      </c>
      <c r="D86" s="77" t="s">
        <v>99</v>
      </c>
      <c r="E86" s="13" t="s">
        <v>291</v>
      </c>
      <c r="F86" s="76" t="s">
        <v>100</v>
      </c>
      <c r="G86" s="13">
        <v>44499.916666666664</v>
      </c>
      <c r="H86" s="95" t="s">
        <v>292</v>
      </c>
      <c r="I86" s="16">
        <v>150</v>
      </c>
      <c r="J86" s="16">
        <v>64</v>
      </c>
      <c r="K86" s="16">
        <v>10</v>
      </c>
      <c r="L86" s="16">
        <v>13</v>
      </c>
      <c r="M86" s="80">
        <v>24</v>
      </c>
      <c r="N86" s="104">
        <v>24</v>
      </c>
      <c r="O86" s="64">
        <v>7000</v>
      </c>
      <c r="P86" s="65">
        <f>Table2245789101123510[[#This Row],[PEMBULATAN]]*O86</f>
        <v>168000</v>
      </c>
    </row>
    <row r="87" spans="1:16" ht="25.5" customHeight="1" x14ac:dyDescent="0.2">
      <c r="A87" s="14"/>
      <c r="B87" s="75"/>
      <c r="C87" s="73" t="s">
        <v>282</v>
      </c>
      <c r="D87" s="77" t="s">
        <v>99</v>
      </c>
      <c r="E87" s="13" t="s">
        <v>291</v>
      </c>
      <c r="F87" s="76" t="s">
        <v>100</v>
      </c>
      <c r="G87" s="13">
        <v>44499.916666666664</v>
      </c>
      <c r="H87" s="95" t="s">
        <v>292</v>
      </c>
      <c r="I87" s="16">
        <v>150</v>
      </c>
      <c r="J87" s="16">
        <v>64</v>
      </c>
      <c r="K87" s="16">
        <v>10</v>
      </c>
      <c r="L87" s="16">
        <v>13</v>
      </c>
      <c r="M87" s="80">
        <v>24</v>
      </c>
      <c r="N87" s="104">
        <v>24</v>
      </c>
      <c r="O87" s="64">
        <v>7000</v>
      </c>
      <c r="P87" s="65">
        <f>Table2245789101123510[[#This Row],[PEMBULATAN]]*O87</f>
        <v>168000</v>
      </c>
    </row>
    <row r="88" spans="1:16" ht="25.5" customHeight="1" x14ac:dyDescent="0.2">
      <c r="A88" s="14"/>
      <c r="B88" s="75"/>
      <c r="C88" s="73" t="s">
        <v>283</v>
      </c>
      <c r="D88" s="77" t="s">
        <v>99</v>
      </c>
      <c r="E88" s="13" t="s">
        <v>291</v>
      </c>
      <c r="F88" s="76" t="s">
        <v>100</v>
      </c>
      <c r="G88" s="13">
        <v>44499.916666666664</v>
      </c>
      <c r="H88" s="95" t="s">
        <v>292</v>
      </c>
      <c r="I88" s="16">
        <v>150</v>
      </c>
      <c r="J88" s="16">
        <v>64</v>
      </c>
      <c r="K88" s="16">
        <v>10</v>
      </c>
      <c r="L88" s="16">
        <v>13</v>
      </c>
      <c r="M88" s="80">
        <v>24</v>
      </c>
      <c r="N88" s="104">
        <v>24</v>
      </c>
      <c r="O88" s="64">
        <v>7000</v>
      </c>
      <c r="P88" s="65">
        <f>Table2245789101123510[[#This Row],[PEMBULATAN]]*O88</f>
        <v>168000</v>
      </c>
    </row>
    <row r="89" spans="1:16" ht="25.5" customHeight="1" x14ac:dyDescent="0.2">
      <c r="A89" s="14"/>
      <c r="B89" s="75"/>
      <c r="C89" s="73" t="s">
        <v>284</v>
      </c>
      <c r="D89" s="77" t="s">
        <v>99</v>
      </c>
      <c r="E89" s="13" t="s">
        <v>291</v>
      </c>
      <c r="F89" s="76" t="s">
        <v>100</v>
      </c>
      <c r="G89" s="13">
        <v>44499.916666666664</v>
      </c>
      <c r="H89" s="95" t="s">
        <v>292</v>
      </c>
      <c r="I89" s="16">
        <v>150</v>
      </c>
      <c r="J89" s="16">
        <v>64</v>
      </c>
      <c r="K89" s="16">
        <v>10</v>
      </c>
      <c r="L89" s="16">
        <v>13</v>
      </c>
      <c r="M89" s="80">
        <v>24</v>
      </c>
      <c r="N89" s="104">
        <v>24</v>
      </c>
      <c r="O89" s="64">
        <v>7000</v>
      </c>
      <c r="P89" s="65">
        <f>Table2245789101123510[[#This Row],[PEMBULATAN]]*O89</f>
        <v>168000</v>
      </c>
    </row>
    <row r="90" spans="1:16" ht="25.5" customHeight="1" x14ac:dyDescent="0.2">
      <c r="A90" s="14"/>
      <c r="B90" s="75"/>
      <c r="C90" s="73" t="s">
        <v>285</v>
      </c>
      <c r="D90" s="77" t="s">
        <v>99</v>
      </c>
      <c r="E90" s="13" t="s">
        <v>291</v>
      </c>
      <c r="F90" s="76" t="s">
        <v>100</v>
      </c>
      <c r="G90" s="13">
        <v>44499.916666666664</v>
      </c>
      <c r="H90" s="95" t="s">
        <v>292</v>
      </c>
      <c r="I90" s="16">
        <v>150</v>
      </c>
      <c r="J90" s="16">
        <v>64</v>
      </c>
      <c r="K90" s="16">
        <v>10</v>
      </c>
      <c r="L90" s="16">
        <v>13</v>
      </c>
      <c r="M90" s="80">
        <v>24</v>
      </c>
      <c r="N90" s="104">
        <v>24</v>
      </c>
      <c r="O90" s="64">
        <v>7000</v>
      </c>
      <c r="P90" s="65">
        <f>Table2245789101123510[[#This Row],[PEMBULATAN]]*O90</f>
        <v>168000</v>
      </c>
    </row>
    <row r="91" spans="1:16" ht="25.5" customHeight="1" x14ac:dyDescent="0.2">
      <c r="A91" s="14"/>
      <c r="B91" s="75"/>
      <c r="C91" s="73" t="s">
        <v>286</v>
      </c>
      <c r="D91" s="77" t="s">
        <v>99</v>
      </c>
      <c r="E91" s="13" t="s">
        <v>291</v>
      </c>
      <c r="F91" s="76" t="s">
        <v>100</v>
      </c>
      <c r="G91" s="13">
        <v>44499.916666666664</v>
      </c>
      <c r="H91" s="95" t="s">
        <v>292</v>
      </c>
      <c r="I91" s="16">
        <v>150</v>
      </c>
      <c r="J91" s="16">
        <v>64</v>
      </c>
      <c r="K91" s="16">
        <v>10</v>
      </c>
      <c r="L91" s="16">
        <v>13</v>
      </c>
      <c r="M91" s="80">
        <v>24</v>
      </c>
      <c r="N91" s="104">
        <v>24</v>
      </c>
      <c r="O91" s="64">
        <v>7000</v>
      </c>
      <c r="P91" s="65">
        <f>Table2245789101123510[[#This Row],[PEMBULATAN]]*O91</f>
        <v>168000</v>
      </c>
    </row>
    <row r="92" spans="1:16" ht="25.5" customHeight="1" x14ac:dyDescent="0.2">
      <c r="A92" s="14"/>
      <c r="B92" s="75"/>
      <c r="C92" s="73" t="s">
        <v>287</v>
      </c>
      <c r="D92" s="77" t="s">
        <v>99</v>
      </c>
      <c r="E92" s="13" t="s">
        <v>291</v>
      </c>
      <c r="F92" s="76" t="s">
        <v>100</v>
      </c>
      <c r="G92" s="13">
        <v>44499.916666666664</v>
      </c>
      <c r="H92" s="95" t="s">
        <v>292</v>
      </c>
      <c r="I92" s="16">
        <v>150</v>
      </c>
      <c r="J92" s="16">
        <v>64</v>
      </c>
      <c r="K92" s="16">
        <v>10</v>
      </c>
      <c r="L92" s="16">
        <v>13</v>
      </c>
      <c r="M92" s="80">
        <v>24</v>
      </c>
      <c r="N92" s="104">
        <v>24</v>
      </c>
      <c r="O92" s="64">
        <v>7000</v>
      </c>
      <c r="P92" s="65">
        <f>Table2245789101123510[[#This Row],[PEMBULATAN]]*O92</f>
        <v>168000</v>
      </c>
    </row>
    <row r="93" spans="1:16" ht="25.5" customHeight="1" x14ac:dyDescent="0.2">
      <c r="A93" s="14"/>
      <c r="B93" s="75"/>
      <c r="C93" s="73" t="s">
        <v>288</v>
      </c>
      <c r="D93" s="77" t="s">
        <v>99</v>
      </c>
      <c r="E93" s="13" t="s">
        <v>291</v>
      </c>
      <c r="F93" s="76" t="s">
        <v>100</v>
      </c>
      <c r="G93" s="13">
        <v>44499.916666666664</v>
      </c>
      <c r="H93" s="95" t="s">
        <v>292</v>
      </c>
      <c r="I93" s="16">
        <v>150</v>
      </c>
      <c r="J93" s="16">
        <v>64</v>
      </c>
      <c r="K93" s="16">
        <v>10</v>
      </c>
      <c r="L93" s="16">
        <v>13</v>
      </c>
      <c r="M93" s="80">
        <v>24</v>
      </c>
      <c r="N93" s="104">
        <v>24</v>
      </c>
      <c r="O93" s="64">
        <v>7000</v>
      </c>
      <c r="P93" s="65">
        <f>Table2245789101123510[[#This Row],[PEMBULATAN]]*O93</f>
        <v>168000</v>
      </c>
    </row>
    <row r="94" spans="1:16" ht="25.5" customHeight="1" x14ac:dyDescent="0.2">
      <c r="A94" s="14"/>
      <c r="B94" s="75"/>
      <c r="C94" s="73" t="s">
        <v>289</v>
      </c>
      <c r="D94" s="77" t="s">
        <v>99</v>
      </c>
      <c r="E94" s="13" t="s">
        <v>291</v>
      </c>
      <c r="F94" s="76" t="s">
        <v>100</v>
      </c>
      <c r="G94" s="13">
        <v>44499.916666666664</v>
      </c>
      <c r="H94" s="95" t="s">
        <v>292</v>
      </c>
      <c r="I94" s="16">
        <v>150</v>
      </c>
      <c r="J94" s="16">
        <v>64</v>
      </c>
      <c r="K94" s="16">
        <v>10</v>
      </c>
      <c r="L94" s="16">
        <v>13</v>
      </c>
      <c r="M94" s="80">
        <v>24</v>
      </c>
      <c r="N94" s="104">
        <v>24</v>
      </c>
      <c r="O94" s="64">
        <v>7000</v>
      </c>
      <c r="P94" s="65">
        <f>Table2245789101123510[[#This Row],[PEMBULATAN]]*O94</f>
        <v>168000</v>
      </c>
    </row>
    <row r="95" spans="1:16" ht="25.5" customHeight="1" x14ac:dyDescent="0.2">
      <c r="A95" s="14"/>
      <c r="B95" s="75"/>
      <c r="C95" s="73" t="s">
        <v>290</v>
      </c>
      <c r="D95" s="77" t="s">
        <v>99</v>
      </c>
      <c r="E95" s="13" t="s">
        <v>291</v>
      </c>
      <c r="F95" s="76" t="s">
        <v>100</v>
      </c>
      <c r="G95" s="13">
        <v>44499.916666666664</v>
      </c>
      <c r="H95" s="95" t="s">
        <v>292</v>
      </c>
      <c r="I95" s="16">
        <v>84</v>
      </c>
      <c r="J95" s="16">
        <v>84</v>
      </c>
      <c r="K95" s="16">
        <v>40</v>
      </c>
      <c r="L95" s="16">
        <v>13</v>
      </c>
      <c r="M95" s="80">
        <v>70.56</v>
      </c>
      <c r="N95" s="104">
        <v>70.56</v>
      </c>
      <c r="O95" s="64">
        <v>7000</v>
      </c>
      <c r="P95" s="65">
        <f>Table2245789101123510[[#This Row],[PEMBULATAN]]*O95</f>
        <v>493920</v>
      </c>
    </row>
    <row r="96" spans="1:16" ht="22.5" customHeight="1" x14ac:dyDescent="0.2">
      <c r="A96" s="134" t="s">
        <v>30</v>
      </c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6"/>
      <c r="M96" s="78">
        <f>SUBTOTAL(109,Table2245789101123510[KG VOLUME])</f>
        <v>3180.1607499999991</v>
      </c>
      <c r="N96" s="68">
        <f>SUM(N3:N95)</f>
        <v>3177.6197499999994</v>
      </c>
      <c r="O96" s="137">
        <f>SUM(P3:P95)</f>
        <v>22243338.25</v>
      </c>
      <c r="P96" s="138"/>
    </row>
    <row r="97" spans="1:16" ht="18" customHeight="1" x14ac:dyDescent="0.2">
      <c r="A97" s="85"/>
      <c r="B97" s="56" t="s">
        <v>42</v>
      </c>
      <c r="C97" s="55"/>
      <c r="D97" s="57" t="s">
        <v>43</v>
      </c>
      <c r="E97" s="85"/>
      <c r="F97" s="85"/>
      <c r="G97" s="85"/>
      <c r="H97" s="85"/>
      <c r="I97" s="85"/>
      <c r="J97" s="85"/>
      <c r="K97" s="85"/>
      <c r="L97" s="85"/>
      <c r="M97" s="86"/>
      <c r="N97" s="87" t="s">
        <v>51</v>
      </c>
      <c r="O97" s="88"/>
      <c r="P97" s="88">
        <f>O96*10%</f>
        <v>2224333.8250000002</v>
      </c>
    </row>
    <row r="98" spans="1:16" ht="18" customHeight="1" thickBot="1" x14ac:dyDescent="0.25">
      <c r="A98" s="85"/>
      <c r="B98" s="56"/>
      <c r="C98" s="55"/>
      <c r="D98" s="57"/>
      <c r="E98" s="85"/>
      <c r="F98" s="85"/>
      <c r="G98" s="85"/>
      <c r="H98" s="85"/>
      <c r="I98" s="85"/>
      <c r="J98" s="85"/>
      <c r="K98" s="85"/>
      <c r="L98" s="85"/>
      <c r="M98" s="86"/>
      <c r="N98" s="89" t="s">
        <v>52</v>
      </c>
      <c r="O98" s="90"/>
      <c r="P98" s="90">
        <f>O96-P97</f>
        <v>20019004.425000001</v>
      </c>
    </row>
    <row r="99" spans="1:16" ht="18" customHeight="1" x14ac:dyDescent="0.2">
      <c r="A99" s="11"/>
      <c r="H99" s="63"/>
      <c r="N99" s="62" t="s">
        <v>31</v>
      </c>
      <c r="P99" s="69">
        <f>P98*1%</f>
        <v>200190.04425000001</v>
      </c>
    </row>
    <row r="100" spans="1:16" ht="18" customHeight="1" thickBot="1" x14ac:dyDescent="0.25">
      <c r="A100" s="11"/>
      <c r="H100" s="63"/>
      <c r="N100" s="62" t="s">
        <v>53</v>
      </c>
      <c r="P100" s="71">
        <f>P98*2%</f>
        <v>400380.08850000001</v>
      </c>
    </row>
    <row r="101" spans="1:16" ht="18" customHeight="1" x14ac:dyDescent="0.2">
      <c r="A101" s="11"/>
      <c r="H101" s="63"/>
      <c r="N101" s="66" t="s">
        <v>32</v>
      </c>
      <c r="O101" s="67"/>
      <c r="P101" s="70">
        <f>P98+P99-P100</f>
        <v>19818814.38075</v>
      </c>
    </row>
    <row r="103" spans="1:16" x14ac:dyDescent="0.2">
      <c r="A103" s="11"/>
      <c r="H103" s="63"/>
      <c r="P103" s="71"/>
    </row>
    <row r="104" spans="1:16" x14ac:dyDescent="0.2">
      <c r="A104" s="11"/>
      <c r="H104" s="63"/>
      <c r="O104" s="58"/>
      <c r="P104" s="71"/>
    </row>
    <row r="105" spans="1:16" s="3" customFormat="1" x14ac:dyDescent="0.25">
      <c r="A105" s="11"/>
      <c r="B105" s="2"/>
      <c r="C105" s="2"/>
      <c r="E105" s="12"/>
      <c r="H105" s="63"/>
      <c r="N105" s="15"/>
      <c r="O105" s="15"/>
      <c r="P105" s="15"/>
    </row>
    <row r="106" spans="1:16" s="3" customFormat="1" x14ac:dyDescent="0.25">
      <c r="A106" s="11"/>
      <c r="B106" s="2"/>
      <c r="C106" s="2"/>
      <c r="E106" s="12"/>
      <c r="H106" s="63"/>
      <c r="N106" s="15"/>
      <c r="O106" s="15"/>
      <c r="P106" s="15"/>
    </row>
    <row r="107" spans="1:16" s="3" customFormat="1" x14ac:dyDescent="0.25">
      <c r="A107" s="11"/>
      <c r="B107" s="2"/>
      <c r="C107" s="2"/>
      <c r="E107" s="12"/>
      <c r="H107" s="63"/>
      <c r="N107" s="15"/>
      <c r="O107" s="15"/>
      <c r="P107" s="15"/>
    </row>
    <row r="108" spans="1:16" s="3" customFormat="1" x14ac:dyDescent="0.25">
      <c r="A108" s="11"/>
      <c r="B108" s="2"/>
      <c r="C108" s="2"/>
      <c r="E108" s="12"/>
      <c r="H108" s="63"/>
      <c r="N108" s="15"/>
      <c r="O108" s="15"/>
      <c r="P108" s="15"/>
    </row>
    <row r="109" spans="1:16" s="3" customFormat="1" x14ac:dyDescent="0.25">
      <c r="A109" s="11"/>
      <c r="B109" s="2"/>
      <c r="C109" s="2"/>
      <c r="E109" s="12"/>
      <c r="H109" s="63"/>
      <c r="N109" s="15"/>
      <c r="O109" s="15"/>
      <c r="P109" s="15"/>
    </row>
    <row r="110" spans="1:16" s="3" customFormat="1" x14ac:dyDescent="0.25">
      <c r="A110" s="11"/>
      <c r="B110" s="2"/>
      <c r="C110" s="2"/>
      <c r="E110" s="12"/>
      <c r="H110" s="63"/>
      <c r="N110" s="15"/>
      <c r="O110" s="15"/>
      <c r="P110" s="15"/>
    </row>
    <row r="111" spans="1:16" s="3" customFormat="1" x14ac:dyDescent="0.25">
      <c r="A111" s="11"/>
      <c r="B111" s="2"/>
      <c r="C111" s="2"/>
      <c r="E111" s="12"/>
      <c r="H111" s="63"/>
      <c r="N111" s="15"/>
      <c r="O111" s="15"/>
      <c r="P111" s="15"/>
    </row>
    <row r="112" spans="1:16" s="3" customFormat="1" x14ac:dyDescent="0.25">
      <c r="A112" s="11"/>
      <c r="B112" s="2"/>
      <c r="C112" s="2"/>
      <c r="E112" s="12"/>
      <c r="H112" s="63"/>
      <c r="N112" s="15"/>
      <c r="O112" s="15"/>
      <c r="P112" s="15"/>
    </row>
    <row r="113" spans="1:16" s="3" customFormat="1" x14ac:dyDescent="0.25">
      <c r="A113" s="11"/>
      <c r="B113" s="2"/>
      <c r="C113" s="2"/>
      <c r="E113" s="12"/>
      <c r="H113" s="63"/>
      <c r="N113" s="15"/>
      <c r="O113" s="15"/>
      <c r="P113" s="15"/>
    </row>
    <row r="114" spans="1:16" s="3" customFormat="1" x14ac:dyDescent="0.25">
      <c r="A114" s="11"/>
      <c r="B114" s="2"/>
      <c r="C114" s="2"/>
      <c r="E114" s="12"/>
      <c r="H114" s="63"/>
      <c r="N114" s="15"/>
      <c r="O114" s="15"/>
      <c r="P114" s="15"/>
    </row>
    <row r="115" spans="1:16" s="3" customFormat="1" x14ac:dyDescent="0.25">
      <c r="A115" s="11"/>
      <c r="B115" s="2"/>
      <c r="C115" s="2"/>
      <c r="E115" s="12"/>
      <c r="H115" s="63"/>
      <c r="N115" s="15"/>
      <c r="O115" s="15"/>
      <c r="P115" s="15"/>
    </row>
    <row r="116" spans="1:16" s="3" customFormat="1" x14ac:dyDescent="0.25">
      <c r="A116" s="11"/>
      <c r="B116" s="2"/>
      <c r="C116" s="2"/>
      <c r="E116" s="12"/>
      <c r="H116" s="63"/>
      <c r="N116" s="15"/>
      <c r="O116" s="15"/>
      <c r="P116" s="15"/>
    </row>
  </sheetData>
  <mergeCells count="2">
    <mergeCell ref="A96:L96"/>
    <mergeCell ref="O96:P96"/>
  </mergeCells>
  <conditionalFormatting sqref="B3:B95">
    <cfRule type="duplicateValues" dxfId="47" priority="3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46_Sicepat_Tanjung Pinang</vt:lpstr>
      <vt:lpstr>402240</vt:lpstr>
      <vt:lpstr>402245</vt:lpstr>
      <vt:lpstr>401500</vt:lpstr>
      <vt:lpstr>402250</vt:lpstr>
      <vt:lpstr>402424</vt:lpstr>
      <vt:lpstr>402434</vt:lpstr>
      <vt:lpstr>402439</vt:lpstr>
      <vt:lpstr>402306</vt:lpstr>
      <vt:lpstr>402311</vt:lpstr>
      <vt:lpstr>402316</vt:lpstr>
      <vt:lpstr>'402240'!Print_Titles</vt:lpstr>
      <vt:lpstr>'402245'!Print_Titles</vt:lpstr>
      <vt:lpstr>'402306'!Print_Titles</vt:lpstr>
      <vt:lpstr>'46_Sicepat_Tanjung Pinang'!Print_Titles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2021-12-16T04:33:32Z</cp:lastPrinted>
  <dcterms:created xsi:type="dcterms:W3CDTF">2021-07-02T11:08:00Z</dcterms:created>
  <dcterms:modified xsi:type="dcterms:W3CDTF">2021-12-16T06:41:50Z</dcterms:modified>
</cp:coreProperties>
</file>