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ublic\PT. PERISAI CAKRAWALA INDONESIA\INVOICE\Performa\2021\Sicepat\Performa yang sudah ter invoice\"/>
    </mc:Choice>
  </mc:AlternateContent>
  <bookViews>
    <workbookView xWindow="0" yWindow="0" windowWidth="20490" windowHeight="7320" tabRatio="842" activeTab="3"/>
  </bookViews>
  <sheets>
    <sheet name="049_Sicepat_BATAM 21-30" sheetId="2" r:id="rId1"/>
    <sheet name="404033" sheetId="26" r:id="rId2"/>
    <sheet name="403897" sheetId="57" r:id="rId3"/>
    <sheet name="403220" sheetId="58" r:id="rId4"/>
    <sheet name="406077" sheetId="59" r:id="rId5"/>
    <sheet name="403222" sheetId="60" r:id="rId6"/>
    <sheet name="403224" sheetId="61" r:id="rId7"/>
    <sheet name="403098" sheetId="62" r:id="rId8"/>
    <sheet name="403226" sheetId="63" r:id="rId9"/>
    <sheet name="403704" sheetId="64" r:id="rId10"/>
    <sheet name="404036" sheetId="65" r:id="rId11"/>
    <sheet name="403707" sheetId="66" r:id="rId12"/>
    <sheet name="404040" sheetId="67" r:id="rId13"/>
    <sheet name="403710" sheetId="68" r:id="rId14"/>
    <sheet name="403712" sheetId="69" r:id="rId15"/>
    <sheet name="404042" sheetId="70" r:id="rId16"/>
    <sheet name="403720" sheetId="71" r:id="rId17"/>
    <sheet name="404046" sheetId="72" r:id="rId18"/>
    <sheet name="404044" sheetId="73" r:id="rId19"/>
    <sheet name="403725" sheetId="74" r:id="rId20"/>
    <sheet name="403727" sheetId="75" r:id="rId21"/>
    <sheet name="406158" sheetId="76" r:id="rId22"/>
    <sheet name="403735" sheetId="77" r:id="rId23"/>
    <sheet name="403953" sheetId="78" r:id="rId24"/>
    <sheet name="403736" sheetId="79" r:id="rId25"/>
  </sheets>
  <definedNames>
    <definedName name="_xlnm.Print_Titles" localSheetId="0">'049_Sicepat_BATAM 21-30'!$2:$17</definedName>
    <definedName name="_xlnm.Print_Titles" localSheetId="7">'403098'!$2:$2</definedName>
    <definedName name="_xlnm.Print_Titles" localSheetId="3">'403220'!$2:$2</definedName>
    <definedName name="_xlnm.Print_Titles" localSheetId="5">'403222'!$2:$2</definedName>
    <definedName name="_xlnm.Print_Titles" localSheetId="6">'403224'!$2:$2</definedName>
    <definedName name="_xlnm.Print_Titles" localSheetId="8">'403226'!$2:$2</definedName>
    <definedName name="_xlnm.Print_Titles" localSheetId="9">'403704'!$2:$2</definedName>
    <definedName name="_xlnm.Print_Titles" localSheetId="11">'403707'!$2:$2</definedName>
    <definedName name="_xlnm.Print_Titles" localSheetId="13">'403710'!$2:$2</definedName>
    <definedName name="_xlnm.Print_Titles" localSheetId="14">'403712'!$2:$2</definedName>
    <definedName name="_xlnm.Print_Titles" localSheetId="16">'403720'!$2:$2</definedName>
    <definedName name="_xlnm.Print_Titles" localSheetId="19">'403725'!$2:$2</definedName>
    <definedName name="_xlnm.Print_Titles" localSheetId="20">'403727'!$2:$2</definedName>
    <definedName name="_xlnm.Print_Titles" localSheetId="22">'403735'!$2:$2</definedName>
    <definedName name="_xlnm.Print_Titles" localSheetId="24">'403736'!$2:$2</definedName>
    <definedName name="_xlnm.Print_Titles" localSheetId="2">'403897'!$2:$2</definedName>
    <definedName name="_xlnm.Print_Titles" localSheetId="23">'403953'!$2:$2</definedName>
    <definedName name="_xlnm.Print_Titles" localSheetId="1">'404033'!$2:$2</definedName>
    <definedName name="_xlnm.Print_Titles" localSheetId="10">'404036'!$2:$2</definedName>
    <definedName name="_xlnm.Print_Titles" localSheetId="12">'404040'!$2:$2</definedName>
    <definedName name="_xlnm.Print_Titles" localSheetId="15">'404042'!$2:$2</definedName>
    <definedName name="_xlnm.Print_Titles" localSheetId="18">'404044'!$2:$2</definedName>
    <definedName name="_xlnm.Print_Titles" localSheetId="17">'404046'!$2:$2</definedName>
    <definedName name="_xlnm.Print_Titles" localSheetId="4">'406077'!$2:$2</definedName>
    <definedName name="_xlnm.Print_Titles" localSheetId="21">'406158'!$2:$2</definedName>
  </definedNames>
  <calcPr calcId="162913"/>
</workbook>
</file>

<file path=xl/calcChain.xml><?xml version="1.0" encoding="utf-8"?>
<calcChain xmlns="http://schemas.openxmlformats.org/spreadsheetml/2006/main">
  <c r="O44" i="79" l="1"/>
  <c r="N44" i="79"/>
  <c r="O8" i="78"/>
  <c r="N8" i="78"/>
  <c r="O16" i="77"/>
  <c r="N16" i="77"/>
  <c r="O5" i="76"/>
  <c r="N5" i="76"/>
  <c r="O14" i="75"/>
  <c r="N14" i="75"/>
  <c r="O31" i="74"/>
  <c r="N31" i="74"/>
  <c r="O7" i="73"/>
  <c r="N7" i="73"/>
  <c r="O6" i="72"/>
  <c r="N6" i="72"/>
  <c r="O71" i="71"/>
  <c r="N71" i="71"/>
  <c r="O5" i="70"/>
  <c r="N5" i="70"/>
  <c r="O15" i="69"/>
  <c r="N15" i="69"/>
  <c r="O34" i="68"/>
  <c r="N34" i="68"/>
  <c r="O6" i="67"/>
  <c r="N6" i="67"/>
  <c r="O53" i="66"/>
  <c r="N53" i="66"/>
  <c r="O9" i="65"/>
  <c r="N9" i="65"/>
  <c r="O33" i="64"/>
  <c r="N33" i="64"/>
  <c r="O6" i="63"/>
  <c r="N6" i="63"/>
  <c r="O38" i="62"/>
  <c r="N38" i="62"/>
  <c r="O7" i="61"/>
  <c r="N7" i="61"/>
  <c r="O4" i="60"/>
  <c r="N4" i="60"/>
  <c r="O16" i="59"/>
  <c r="N16" i="59"/>
  <c r="O5" i="58"/>
  <c r="N5" i="58"/>
  <c r="O45" i="57"/>
  <c r="N45" i="57"/>
  <c r="O5" i="26"/>
  <c r="N5" i="26"/>
  <c r="P4" i="78" l="1"/>
  <c r="P5" i="78"/>
  <c r="P6" i="78"/>
  <c r="P7" i="78"/>
  <c r="P3" i="78"/>
  <c r="P4" i="77"/>
  <c r="P5" i="77"/>
  <c r="P6" i="77"/>
  <c r="P7" i="77"/>
  <c r="P8" i="77"/>
  <c r="P9" i="77"/>
  <c r="P10" i="77"/>
  <c r="P11" i="77"/>
  <c r="P12" i="77"/>
  <c r="P13" i="77"/>
  <c r="P14" i="77"/>
  <c r="P15" i="77"/>
  <c r="P3" i="77"/>
  <c r="P4" i="76"/>
  <c r="P3" i="76"/>
  <c r="P4" i="75"/>
  <c r="P5" i="75"/>
  <c r="P6" i="75"/>
  <c r="P7" i="75"/>
  <c r="P8" i="75"/>
  <c r="P9" i="75"/>
  <c r="P10" i="75"/>
  <c r="P11" i="75"/>
  <c r="P12" i="75"/>
  <c r="P13" i="75"/>
  <c r="P3" i="75"/>
  <c r="P4" i="74"/>
  <c r="P5" i="74"/>
  <c r="P6" i="74"/>
  <c r="P7" i="74"/>
  <c r="P8" i="74"/>
  <c r="P9" i="74"/>
  <c r="P10" i="74"/>
  <c r="P11" i="74"/>
  <c r="P12" i="74"/>
  <c r="P13" i="74"/>
  <c r="P14" i="74"/>
  <c r="P15" i="74"/>
  <c r="P16" i="74"/>
  <c r="P17" i="74"/>
  <c r="P18" i="74"/>
  <c r="P19" i="74"/>
  <c r="P20" i="74"/>
  <c r="P21" i="74"/>
  <c r="P22" i="74"/>
  <c r="P23" i="74"/>
  <c r="P24" i="74"/>
  <c r="P25" i="74"/>
  <c r="P26" i="74"/>
  <c r="P27" i="74"/>
  <c r="P28" i="74"/>
  <c r="P29" i="74"/>
  <c r="P30" i="74"/>
  <c r="P3" i="74"/>
  <c r="P3" i="73"/>
  <c r="P4" i="69" l="1"/>
  <c r="P5" i="69"/>
  <c r="P6" i="69"/>
  <c r="P7" i="69"/>
  <c r="P8" i="69"/>
  <c r="P9" i="69"/>
  <c r="P10" i="69"/>
  <c r="P11" i="69"/>
  <c r="P12" i="69"/>
  <c r="P13" i="69"/>
  <c r="P14" i="69"/>
  <c r="P3" i="69"/>
  <c r="P4" i="68"/>
  <c r="P5" i="68"/>
  <c r="P6" i="68"/>
  <c r="P7" i="68"/>
  <c r="P8" i="68"/>
  <c r="P9" i="68"/>
  <c r="P10" i="68"/>
  <c r="P11" i="68"/>
  <c r="P12" i="68"/>
  <c r="P13" i="68"/>
  <c r="P14" i="68"/>
  <c r="P15" i="68"/>
  <c r="P16" i="68"/>
  <c r="P17" i="68"/>
  <c r="P18" i="68"/>
  <c r="P19" i="68"/>
  <c r="P20" i="68"/>
  <c r="P21" i="68"/>
  <c r="P22" i="68"/>
  <c r="P23" i="68"/>
  <c r="P24" i="68"/>
  <c r="P25" i="68"/>
  <c r="P26" i="68"/>
  <c r="P27" i="68"/>
  <c r="P28" i="68"/>
  <c r="P29" i="68"/>
  <c r="P30" i="68"/>
  <c r="P31" i="68"/>
  <c r="P32" i="68"/>
  <c r="P33" i="68"/>
  <c r="P3" i="68"/>
  <c r="P4" i="67"/>
  <c r="P5" i="67"/>
  <c r="P3" i="67"/>
  <c r="P4" i="66"/>
  <c r="P5" i="66"/>
  <c r="P6" i="66"/>
  <c r="P7" i="66"/>
  <c r="P8" i="66"/>
  <c r="P9" i="66"/>
  <c r="P10" i="66"/>
  <c r="P11" i="66"/>
  <c r="P12" i="66"/>
  <c r="P13" i="66"/>
  <c r="P14" i="66"/>
  <c r="P15" i="66"/>
  <c r="P16" i="66"/>
  <c r="P17" i="66"/>
  <c r="P18" i="66"/>
  <c r="P19" i="66"/>
  <c r="P20" i="66"/>
  <c r="P21" i="66"/>
  <c r="P22" i="66"/>
  <c r="P23" i="66"/>
  <c r="P24" i="66"/>
  <c r="P25" i="66"/>
  <c r="P26" i="66"/>
  <c r="P27" i="66"/>
  <c r="P28" i="66"/>
  <c r="P29" i="66"/>
  <c r="P30" i="66"/>
  <c r="P31" i="66"/>
  <c r="P32" i="66"/>
  <c r="P33" i="66"/>
  <c r="P34" i="66"/>
  <c r="P35" i="66"/>
  <c r="P36" i="66"/>
  <c r="P37" i="66"/>
  <c r="P38" i="66"/>
  <c r="P39" i="66"/>
  <c r="P40" i="66"/>
  <c r="P41" i="66"/>
  <c r="P42" i="66"/>
  <c r="P43" i="66"/>
  <c r="P44" i="66"/>
  <c r="P45" i="66"/>
  <c r="P46" i="66"/>
  <c r="P47" i="66"/>
  <c r="P48" i="66"/>
  <c r="P49" i="66"/>
  <c r="P50" i="66"/>
  <c r="P51" i="66"/>
  <c r="P52" i="66"/>
  <c r="P3" i="66"/>
  <c r="P11" i="64"/>
  <c r="P12" i="64"/>
  <c r="P13" i="64"/>
  <c r="P14" i="64"/>
  <c r="P15" i="64"/>
  <c r="P16" i="64"/>
  <c r="P17" i="64"/>
  <c r="P18" i="64"/>
  <c r="P19" i="64"/>
  <c r="P20" i="64"/>
  <c r="P21" i="64"/>
  <c r="P22" i="64"/>
  <c r="P23" i="64"/>
  <c r="P24" i="64"/>
  <c r="P25" i="64"/>
  <c r="P26" i="64"/>
  <c r="P27" i="64"/>
  <c r="P28" i="64"/>
  <c r="P29" i="64"/>
  <c r="P30" i="64"/>
  <c r="P31" i="64"/>
  <c r="P32" i="64"/>
  <c r="P10" i="64"/>
  <c r="P4" i="64"/>
  <c r="P5" i="64"/>
  <c r="P6" i="64"/>
  <c r="P7" i="64"/>
  <c r="P8" i="64"/>
  <c r="P9" i="64"/>
  <c r="P3" i="64"/>
  <c r="P4" i="63"/>
  <c r="P5" i="63"/>
  <c r="P3" i="63"/>
  <c r="P4" i="61"/>
  <c r="P5" i="61"/>
  <c r="P6" i="61"/>
  <c r="P3" i="61"/>
  <c r="P3" i="60"/>
  <c r="P4" i="59"/>
  <c r="P5" i="59"/>
  <c r="P6" i="59"/>
  <c r="P7" i="59"/>
  <c r="P8" i="59"/>
  <c r="P9" i="59"/>
  <c r="P10" i="59"/>
  <c r="P11" i="59"/>
  <c r="P12" i="59"/>
  <c r="P13" i="59"/>
  <c r="P14" i="59"/>
  <c r="P15" i="59"/>
  <c r="P3" i="59"/>
  <c r="P4" i="57"/>
  <c r="P5" i="57"/>
  <c r="P6" i="57"/>
  <c r="P7" i="57"/>
  <c r="P8" i="57"/>
  <c r="P9" i="57"/>
  <c r="P10" i="57"/>
  <c r="P11" i="57"/>
  <c r="P12" i="57"/>
  <c r="P13" i="57"/>
  <c r="P14" i="57"/>
  <c r="P15" i="57"/>
  <c r="P16" i="57"/>
  <c r="P17" i="57"/>
  <c r="P18" i="57"/>
  <c r="P19" i="57"/>
  <c r="P20" i="57"/>
  <c r="P21" i="57"/>
  <c r="P22" i="57"/>
  <c r="P23" i="57"/>
  <c r="P24" i="57"/>
  <c r="P25" i="57"/>
  <c r="P26" i="57"/>
  <c r="P27" i="57"/>
  <c r="P28" i="57"/>
  <c r="P29" i="57"/>
  <c r="P30" i="57"/>
  <c r="P31" i="57"/>
  <c r="P32" i="57"/>
  <c r="P33" i="57"/>
  <c r="P34" i="57"/>
  <c r="P35" i="57"/>
  <c r="P36" i="57"/>
  <c r="P37" i="57"/>
  <c r="P38" i="57"/>
  <c r="P39" i="57"/>
  <c r="P40" i="57"/>
  <c r="P41" i="57"/>
  <c r="P42" i="57"/>
  <c r="P43" i="57"/>
  <c r="P44" i="57"/>
  <c r="P3" i="57"/>
  <c r="P4" i="26"/>
  <c r="P3" i="26"/>
  <c r="P70" i="71" l="1"/>
  <c r="P69" i="71"/>
  <c r="P68" i="71"/>
  <c r="P67" i="71"/>
  <c r="P66" i="71"/>
  <c r="P65" i="71"/>
  <c r="P64" i="71"/>
  <c r="P63" i="71"/>
  <c r="P62" i="71"/>
  <c r="P61" i="71"/>
  <c r="P60" i="71"/>
  <c r="P59" i="71"/>
  <c r="P58" i="71"/>
  <c r="P57" i="71"/>
  <c r="P56" i="71"/>
  <c r="P55" i="71"/>
  <c r="P54" i="71"/>
  <c r="P53" i="71"/>
  <c r="P52" i="71"/>
  <c r="P51" i="71"/>
  <c r="P50" i="71"/>
  <c r="P49" i="71"/>
  <c r="P48" i="71"/>
  <c r="P47" i="71"/>
  <c r="P46" i="71"/>
  <c r="P45" i="71"/>
  <c r="P44" i="71"/>
  <c r="P43" i="71"/>
  <c r="P42" i="71"/>
  <c r="P41" i="71"/>
  <c r="P40" i="71"/>
  <c r="P39" i="71"/>
  <c r="P38" i="71"/>
  <c r="P37" i="71"/>
  <c r="P36" i="71"/>
  <c r="P35" i="71"/>
  <c r="P34" i="71"/>
  <c r="P33" i="71"/>
  <c r="P32" i="71"/>
  <c r="P31" i="71"/>
  <c r="P30" i="71"/>
  <c r="P29" i="71"/>
  <c r="P28" i="71"/>
  <c r="P27" i="71"/>
  <c r="P26" i="71"/>
  <c r="P25" i="71"/>
  <c r="P24" i="71"/>
  <c r="P23" i="71"/>
  <c r="P22" i="71"/>
  <c r="P21" i="71"/>
  <c r="P20" i="71"/>
  <c r="P19" i="71"/>
  <c r="P18" i="71"/>
  <c r="P17" i="71"/>
  <c r="P16" i="71"/>
  <c r="P15" i="71"/>
  <c r="P14" i="71"/>
  <c r="P13" i="71"/>
  <c r="P12" i="71"/>
  <c r="P11" i="71"/>
  <c r="P10" i="71"/>
  <c r="P9" i="71"/>
  <c r="P8" i="71"/>
  <c r="P7" i="71"/>
  <c r="P6" i="71"/>
  <c r="P5" i="71"/>
  <c r="P4" i="71"/>
  <c r="B41" i="2" l="1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C41" i="2" l="1"/>
  <c r="C40" i="2"/>
  <c r="C39" i="2"/>
  <c r="C38" i="2"/>
  <c r="C37" i="2"/>
  <c r="C36" i="2"/>
  <c r="G41" i="2"/>
  <c r="J41" i="2" s="1"/>
  <c r="M44" i="79"/>
  <c r="P43" i="79"/>
  <c r="P42" i="79"/>
  <c r="P41" i="79"/>
  <c r="P40" i="79"/>
  <c r="P39" i="79"/>
  <c r="P38" i="79"/>
  <c r="P37" i="79"/>
  <c r="P36" i="79"/>
  <c r="P35" i="79"/>
  <c r="P34" i="79"/>
  <c r="P33" i="79"/>
  <c r="P32" i="79"/>
  <c r="P31" i="79"/>
  <c r="P30" i="79"/>
  <c r="P29" i="79"/>
  <c r="P28" i="79"/>
  <c r="P27" i="79"/>
  <c r="P26" i="79"/>
  <c r="P25" i="79"/>
  <c r="P24" i="79"/>
  <c r="P23" i="79"/>
  <c r="P22" i="79"/>
  <c r="P21" i="79"/>
  <c r="P20" i="79"/>
  <c r="P19" i="79"/>
  <c r="P18" i="79"/>
  <c r="P17" i="79"/>
  <c r="P16" i="79"/>
  <c r="P15" i="79"/>
  <c r="P14" i="79"/>
  <c r="P13" i="79"/>
  <c r="P12" i="79"/>
  <c r="P11" i="79"/>
  <c r="P10" i="79"/>
  <c r="P9" i="79"/>
  <c r="P8" i="79"/>
  <c r="P7" i="79"/>
  <c r="P6" i="79"/>
  <c r="P5" i="79"/>
  <c r="P4" i="79"/>
  <c r="P3" i="79"/>
  <c r="G40" i="2"/>
  <c r="J40" i="2" s="1"/>
  <c r="M8" i="78"/>
  <c r="G39" i="2"/>
  <c r="J39" i="2" s="1"/>
  <c r="M16" i="77"/>
  <c r="G38" i="2"/>
  <c r="J38" i="2" s="1"/>
  <c r="M5" i="76"/>
  <c r="G37" i="2"/>
  <c r="J37" i="2" s="1"/>
  <c r="M14" i="75"/>
  <c r="G36" i="2"/>
  <c r="J36" i="2" s="1"/>
  <c r="M31" i="74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G35" i="2"/>
  <c r="J35" i="2" s="1"/>
  <c r="M7" i="73"/>
  <c r="P6" i="73"/>
  <c r="P5" i="73"/>
  <c r="P4" i="73"/>
  <c r="G34" i="2"/>
  <c r="J34" i="2" s="1"/>
  <c r="M6" i="72"/>
  <c r="P5" i="72"/>
  <c r="P4" i="72"/>
  <c r="P3" i="72"/>
  <c r="G33" i="2"/>
  <c r="J33" i="2" s="1"/>
  <c r="M71" i="71"/>
  <c r="P3" i="71"/>
  <c r="G32" i="2"/>
  <c r="J32" i="2" s="1"/>
  <c r="M5" i="70"/>
  <c r="P4" i="70"/>
  <c r="P3" i="70"/>
  <c r="P7" i="70" s="1"/>
  <c r="G31" i="2"/>
  <c r="J31" i="2" s="1"/>
  <c r="M15" i="69"/>
  <c r="G30" i="2"/>
  <c r="J30" i="2" s="1"/>
  <c r="M34" i="68"/>
  <c r="G29" i="2"/>
  <c r="J29" i="2" s="1"/>
  <c r="M6" i="67"/>
  <c r="G28" i="2"/>
  <c r="J28" i="2" s="1"/>
  <c r="M53" i="66"/>
  <c r="P55" i="66"/>
  <c r="G27" i="2"/>
  <c r="J27" i="2" s="1"/>
  <c r="M9" i="65"/>
  <c r="P8" i="65"/>
  <c r="P7" i="65"/>
  <c r="P6" i="65"/>
  <c r="P5" i="65"/>
  <c r="P4" i="65"/>
  <c r="P3" i="65"/>
  <c r="G26" i="2"/>
  <c r="J26" i="2" s="1"/>
  <c r="M33" i="64"/>
  <c r="G25" i="2"/>
  <c r="J25" i="2" s="1"/>
  <c r="M6" i="63"/>
  <c r="G24" i="2"/>
  <c r="J24" i="2" s="1"/>
  <c r="M38" i="62"/>
  <c r="P37" i="62"/>
  <c r="P36" i="62"/>
  <c r="P35" i="62"/>
  <c r="P34" i="62"/>
  <c r="P33" i="62"/>
  <c r="P32" i="62"/>
  <c r="P31" i="62"/>
  <c r="P30" i="62"/>
  <c r="P29" i="62"/>
  <c r="P28" i="62"/>
  <c r="P27" i="62"/>
  <c r="P26" i="62"/>
  <c r="P25" i="62"/>
  <c r="P24" i="62"/>
  <c r="P23" i="62"/>
  <c r="P22" i="62"/>
  <c r="P21" i="62"/>
  <c r="P20" i="62"/>
  <c r="P19" i="62"/>
  <c r="P18" i="62"/>
  <c r="P17" i="62"/>
  <c r="P16" i="62"/>
  <c r="P15" i="62"/>
  <c r="P14" i="62"/>
  <c r="P13" i="62"/>
  <c r="P12" i="62"/>
  <c r="P11" i="62"/>
  <c r="P10" i="62"/>
  <c r="P9" i="62"/>
  <c r="P8" i="62"/>
  <c r="P7" i="62"/>
  <c r="P6" i="62"/>
  <c r="P5" i="62"/>
  <c r="P4" i="62"/>
  <c r="P3" i="62"/>
  <c r="G23" i="2"/>
  <c r="J23" i="2" s="1"/>
  <c r="M7" i="61"/>
  <c r="G22" i="2"/>
  <c r="J22" i="2" s="1"/>
  <c r="M4" i="60"/>
  <c r="P6" i="60"/>
  <c r="G21" i="2"/>
  <c r="J21" i="2" s="1"/>
  <c r="M16" i="59"/>
  <c r="G20" i="2"/>
  <c r="J20" i="2" s="1"/>
  <c r="M5" i="58"/>
  <c r="P4" i="58"/>
  <c r="P3" i="58"/>
  <c r="G19" i="2"/>
  <c r="J19" i="2" s="1"/>
  <c r="M45" i="57"/>
  <c r="P7" i="58" l="1"/>
  <c r="P46" i="79"/>
  <c r="P47" i="79" s="1"/>
  <c r="P10" i="78"/>
  <c r="P12" i="78" s="1"/>
  <c r="P18" i="77"/>
  <c r="P20" i="77" s="1"/>
  <c r="P7" i="76"/>
  <c r="P9" i="76" s="1"/>
  <c r="P16" i="75"/>
  <c r="P18" i="75" s="1"/>
  <c r="P33" i="74"/>
  <c r="P35" i="74" s="1"/>
  <c r="P9" i="73"/>
  <c r="P11" i="73" s="1"/>
  <c r="P8" i="72"/>
  <c r="P9" i="72" s="1"/>
  <c r="P73" i="71"/>
  <c r="P75" i="71" s="1"/>
  <c r="P17" i="69"/>
  <c r="P18" i="69" s="1"/>
  <c r="P36" i="68"/>
  <c r="P38" i="68" s="1"/>
  <c r="P8" i="67"/>
  <c r="P10" i="67" s="1"/>
  <c r="P11" i="65"/>
  <c r="P13" i="65" s="1"/>
  <c r="P35" i="64"/>
  <c r="P37" i="64" s="1"/>
  <c r="P8" i="63"/>
  <c r="P9" i="63" s="1"/>
  <c r="P40" i="62"/>
  <c r="P42" i="62" s="1"/>
  <c r="P9" i="61"/>
  <c r="P11" i="61" s="1"/>
  <c r="P18" i="59"/>
  <c r="P20" i="59" s="1"/>
  <c r="P47" i="57"/>
  <c r="P48" i="57" s="1"/>
  <c r="P9" i="70"/>
  <c r="P8" i="70"/>
  <c r="P9" i="67"/>
  <c r="P57" i="66"/>
  <c r="P56" i="66"/>
  <c r="P8" i="60"/>
  <c r="P7" i="60"/>
  <c r="P9" i="58"/>
  <c r="P8" i="58"/>
  <c r="P41" i="62" l="1"/>
  <c r="P43" i="62" s="1"/>
  <c r="P48" i="79"/>
  <c r="P49" i="79" s="1"/>
  <c r="P8" i="76"/>
  <c r="P10" i="76" s="1"/>
  <c r="P10" i="63"/>
  <c r="P11" i="63" s="1"/>
  <c r="P10" i="58"/>
  <c r="P11" i="78"/>
  <c r="P13" i="78" s="1"/>
  <c r="P19" i="77"/>
  <c r="P21" i="77" s="1"/>
  <c r="P17" i="75"/>
  <c r="P19" i="75" s="1"/>
  <c r="P34" i="74"/>
  <c r="P36" i="74" s="1"/>
  <c r="P10" i="73"/>
  <c r="P12" i="73" s="1"/>
  <c r="P10" i="72"/>
  <c r="P11" i="72"/>
  <c r="P74" i="71"/>
  <c r="P76" i="71" s="1"/>
  <c r="P10" i="70"/>
  <c r="P19" i="69"/>
  <c r="P20" i="69" s="1"/>
  <c r="P37" i="68"/>
  <c r="P39" i="68" s="1"/>
  <c r="P11" i="67"/>
  <c r="P58" i="66"/>
  <c r="P12" i="65"/>
  <c r="P14" i="65" s="1"/>
  <c r="P36" i="64"/>
  <c r="P38" i="64" s="1"/>
  <c r="P10" i="61"/>
  <c r="P12" i="61" s="1"/>
  <c r="P9" i="60"/>
  <c r="P19" i="59"/>
  <c r="P21" i="59" s="1"/>
  <c r="P49" i="57"/>
  <c r="P50" i="57" s="1"/>
  <c r="I47" i="2"/>
  <c r="I46" i="2"/>
  <c r="I48" i="2" s="1"/>
  <c r="G18" i="2" l="1"/>
  <c r="J18" i="2" s="1"/>
  <c r="J42" i="2" s="1"/>
  <c r="M5" i="26"/>
  <c r="P7" i="26" l="1"/>
  <c r="P8" i="26" l="1"/>
  <c r="P9" i="26"/>
  <c r="P10" i="26" l="1"/>
  <c r="L42" i="2" s="1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I59" i="2" l="1"/>
  <c r="J45" i="2" l="1"/>
  <c r="J47" i="2" l="1"/>
  <c r="J46" i="2"/>
  <c r="J48" i="2" l="1"/>
</calcChain>
</file>

<file path=xl/sharedStrings.xml><?xml version="1.0" encoding="utf-8"?>
<sst xmlns="http://schemas.openxmlformats.org/spreadsheetml/2006/main" count="2356" uniqueCount="524">
  <si>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</si>
  <si>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</si>
  <si>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</si>
  <si>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</si>
  <si>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</si>
  <si>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</si>
  <si>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</si>
  <si>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</si>
  <si>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</si>
  <si>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</si>
  <si>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</si>
  <si>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</si>
  <si>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</si>
  <si>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</si>
  <si>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</si>
  <si>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</si>
  <si>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</si>
  <si>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</si>
  <si>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</si>
  <si>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</si>
  <si>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</si>
  <si>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</si>
  <si>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</si>
  <si>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</si>
  <si>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</si>
  <si>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</si>
  <si>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</si>
  <si>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</si>
  <si>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</si>
  <si>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</si>
  <si>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</si>
  <si>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</si>
  <si>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</si>
  <si>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</si>
  <si>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</si>
  <si>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</si>
  <si>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</si>
  <si>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</si>
  <si>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</si>
  <si>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</si>
  <si>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</si>
  <si>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</si>
  <si>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</si>
  <si>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</si>
  <si>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</si>
  <si>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</si>
  <si>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</si>
  <si>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</si>
  <si>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</si>
  <si>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</si>
  <si>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BATAM</t>
  </si>
  <si>
    <t>Periode</t>
  </si>
  <si>
    <t>Discount 10%</t>
  </si>
  <si>
    <t>Total Setelah Discount</t>
  </si>
  <si>
    <t>PPh 23  2%</t>
  </si>
  <si>
    <t>PPh 23 2%</t>
  </si>
  <si>
    <t>TOTAL</t>
  </si>
  <si>
    <t>DMD/2111/21/PKGW6139</t>
  </si>
  <si>
    <t>GSK211121FBW605</t>
  </si>
  <si>
    <t>GSK211121NRQ089</t>
  </si>
  <si>
    <t>DMP BTH (BATAM)</t>
  </si>
  <si>
    <t>KM HUMALA</t>
  </si>
  <si>
    <t>11/27/2021 SAKA</t>
  </si>
  <si>
    <t>DMD/2111/21/BPNZ0568</t>
  </si>
  <si>
    <t>GSK211121YAE127</t>
  </si>
  <si>
    <t>GSK211120EGY693</t>
  </si>
  <si>
    <t>GSK211120HTW576</t>
  </si>
  <si>
    <t>GSK211119ECA907</t>
  </si>
  <si>
    <t>GSK211121OIW906</t>
  </si>
  <si>
    <t>GSK211121IPD012</t>
  </si>
  <si>
    <t>GSK211121FYV706</t>
  </si>
  <si>
    <t>GSK211121LVS234</t>
  </si>
  <si>
    <t>GSK211121KCY798</t>
  </si>
  <si>
    <t>GSK211121CKE076</t>
  </si>
  <si>
    <t>GSK211120NVZ740</t>
  </si>
  <si>
    <t>GSK211121LPC073</t>
  </si>
  <si>
    <t>GSK211121UHM861</t>
  </si>
  <si>
    <t>GSK211121GPX026</t>
  </si>
  <si>
    <t>GSK211121QGP423</t>
  </si>
  <si>
    <t>GSK211121UCQ098</t>
  </si>
  <si>
    <t>GSK211121ZMG035</t>
  </si>
  <si>
    <t>GSK211121ZGE852</t>
  </si>
  <si>
    <t>GSK211121WQP349</t>
  </si>
  <si>
    <t>GSK211121XTZ643</t>
  </si>
  <si>
    <t>GSK211121IRN196</t>
  </si>
  <si>
    <t>GSK211121HXZ301</t>
  </si>
  <si>
    <t>GSK211120HYR607</t>
  </si>
  <si>
    <t>GSK211121TMF801</t>
  </si>
  <si>
    <t>GSK211121BFW836</t>
  </si>
  <si>
    <t>GSK211121ADG853</t>
  </si>
  <si>
    <t>GSK211120NXB950</t>
  </si>
  <si>
    <t>GSK211120TGL824</t>
  </si>
  <si>
    <t>GSK211121SLK816</t>
  </si>
  <si>
    <t>GSK211121OBJ439</t>
  </si>
  <si>
    <t>DMD/2111/21/UHGE5798</t>
  </si>
  <si>
    <t>GSK211121JTH682</t>
  </si>
  <si>
    <t>GSK211121HSR063</t>
  </si>
  <si>
    <t>GSK211121YRG738</t>
  </si>
  <si>
    <t>GSK211121DJX659</t>
  </si>
  <si>
    <t>GSK211121JCP475</t>
  </si>
  <si>
    <t>DMD/2111/21/LNQW9460</t>
  </si>
  <si>
    <t>GSK211121RCU467</t>
  </si>
  <si>
    <t>GSK211121JRU984</t>
  </si>
  <si>
    <t>GSK211121KCR025</t>
  </si>
  <si>
    <t>GSK211121ZPR598</t>
  </si>
  <si>
    <t>GSK211121ETG706</t>
  </si>
  <si>
    <t>GSK211121ITH813</t>
  </si>
  <si>
    <t>GSK211121CZD715</t>
  </si>
  <si>
    <t>DMD/2111/22/LOXG7504</t>
  </si>
  <si>
    <t>GSK211121PJW325</t>
  </si>
  <si>
    <t>GSK211122GPN012</t>
  </si>
  <si>
    <t>DMD/2111/22/DEUJ1346</t>
  </si>
  <si>
    <t>GSK211121LCE176</t>
  </si>
  <si>
    <t>GSK211120CXS469</t>
  </si>
  <si>
    <t>GSK211122RLY927</t>
  </si>
  <si>
    <t>GSK211122EVM381</t>
  </si>
  <si>
    <t>GSK211122PRB329</t>
  </si>
  <si>
    <t>GSK211121BNV059</t>
  </si>
  <si>
    <t>GSK211122IKZ512</t>
  </si>
  <si>
    <t>GSK211122FWE892</t>
  </si>
  <si>
    <t>DMD/2111/22/TPLQ1369</t>
  </si>
  <si>
    <t>GSK211122HKN467</t>
  </si>
  <si>
    <t>DMD/2111/22/VHLM3516</t>
  </si>
  <si>
    <t>GSK211122NUW671</t>
  </si>
  <si>
    <t>GSK211122BDJ914</t>
  </si>
  <si>
    <t>GSK211121LPS807</t>
  </si>
  <si>
    <t>GSK211121ZJP278</t>
  </si>
  <si>
    <t>DMD/2111/23/FOYE1736</t>
  </si>
  <si>
    <t>GSK211123QMZ298</t>
  </si>
  <si>
    <t>DMD/2111/23/FEMA9274</t>
  </si>
  <si>
    <t>GSK211123SXH375</t>
  </si>
  <si>
    <t>GSK211123VSG349</t>
  </si>
  <si>
    <t>GSK211123LQX067</t>
  </si>
  <si>
    <t>GSK211123ZXM487</t>
  </si>
  <si>
    <t>DMD/2111/23/HVTL5132</t>
  </si>
  <si>
    <t>GSK211122VXH512</t>
  </si>
  <si>
    <t>GSK211123TCG641</t>
  </si>
  <si>
    <t>GSK211123MCP230</t>
  </si>
  <si>
    <t>GSK211123UPO268</t>
  </si>
  <si>
    <t>GSK211123FAN168</t>
  </si>
  <si>
    <t>GSK211123QNV654</t>
  </si>
  <si>
    <t>GSK211123PKS023</t>
  </si>
  <si>
    <t>GSK211121CZN673</t>
  </si>
  <si>
    <t>GSK211123KLH492</t>
  </si>
  <si>
    <t>GSK211121OXH254</t>
  </si>
  <si>
    <t>GSK211123EQD543</t>
  </si>
  <si>
    <t>GSK211123PFA430</t>
  </si>
  <si>
    <t>GSK211123KOW289</t>
  </si>
  <si>
    <t>GSK211121WLR052</t>
  </si>
  <si>
    <t>GSK211123FUL136</t>
  </si>
  <si>
    <t>GSK211123OKG890</t>
  </si>
  <si>
    <t>GSK211121JZC586</t>
  </si>
  <si>
    <t>GSK211122CHW241</t>
  </si>
  <si>
    <t>GSK211123OBZ645</t>
  </si>
  <si>
    <t>GSK211123XGO723</t>
  </si>
  <si>
    <t>GSK211123WUB180</t>
  </si>
  <si>
    <t>GSK211123QEV629</t>
  </si>
  <si>
    <t>GSK211123MXL501</t>
  </si>
  <si>
    <t>GSK211123LAF093</t>
  </si>
  <si>
    <t>GSK211123BNZ768</t>
  </si>
  <si>
    <t>GSK211123XGQ027</t>
  </si>
  <si>
    <t>GSK211123CXM379</t>
  </si>
  <si>
    <t>GSK211123LGC740</t>
  </si>
  <si>
    <t>GSK211123QPS865</t>
  </si>
  <si>
    <t>GSK211123REQ086</t>
  </si>
  <si>
    <t>GSK211123UTR681</t>
  </si>
  <si>
    <t>DMD/2111/23/PVIK5047</t>
  </si>
  <si>
    <t>GSK211123AYN671</t>
  </si>
  <si>
    <t>GSK211121NWZ824</t>
  </si>
  <si>
    <t>GSK211123SKX941</t>
  </si>
  <si>
    <t>GSK211123UYX807</t>
  </si>
  <si>
    <t>DMD/2111/24/CBIE1305</t>
  </si>
  <si>
    <t>GSK211124HJT270</t>
  </si>
  <si>
    <t>GSK211124AEM428</t>
  </si>
  <si>
    <t>GSK211124IJU713</t>
  </si>
  <si>
    <t>DMD/2111/24/JQKN6435</t>
  </si>
  <si>
    <t>GSK211124ZKO182</t>
  </si>
  <si>
    <t>GSK211124UVS529</t>
  </si>
  <si>
    <t>GSK211124GVC467</t>
  </si>
  <si>
    <t>GSK211122GDI805</t>
  </si>
  <si>
    <t>GSK211124ZSB960</t>
  </si>
  <si>
    <t>GSK211124MRP251</t>
  </si>
  <si>
    <t>GSK211124DJN210</t>
  </si>
  <si>
    <t>GSK211124LMB957</t>
  </si>
  <si>
    <t>GSK211124DMV703</t>
  </si>
  <si>
    <t>GSK211124RPO218</t>
  </si>
  <si>
    <t>GSK211122IEP705</t>
  </si>
  <si>
    <t>GSK211124LCX089</t>
  </si>
  <si>
    <t>GSK211124UIR028</t>
  </si>
  <si>
    <t>GSK211124DGU924</t>
  </si>
  <si>
    <t>GSK211124XBS650</t>
  </si>
  <si>
    <t>GSK211124CBG471</t>
  </si>
  <si>
    <t>GSK211124HKX921</t>
  </si>
  <si>
    <t>GSK211124XVH109</t>
  </si>
  <si>
    <t>GSK211123FIC125</t>
  </si>
  <si>
    <t>GSK211124XRV908</t>
  </si>
  <si>
    <t>GSK211124GEV842</t>
  </si>
  <si>
    <t>GSK211124DYM562</t>
  </si>
  <si>
    <t>GSK211124AJT294</t>
  </si>
  <si>
    <t>GSK211124DNL675</t>
  </si>
  <si>
    <t>GSK211124ISB592</t>
  </si>
  <si>
    <t>GSK211124ODP950</t>
  </si>
  <si>
    <t>GSK211124ADB681</t>
  </si>
  <si>
    <t>GSK211124BWQ247</t>
  </si>
  <si>
    <t>DMD/2111/24/PEOS8260</t>
  </si>
  <si>
    <t>GSK211124DPN798</t>
  </si>
  <si>
    <t>GSK211124RPD837</t>
  </si>
  <si>
    <t>DMD/2111/25/ADIX6278</t>
  </si>
  <si>
    <t>GSK211125RSA078</t>
  </si>
  <si>
    <t>GSK211125JHW607</t>
  </si>
  <si>
    <t>GSK211125HPT435</t>
  </si>
  <si>
    <t>GSK211125BCZ174</t>
  </si>
  <si>
    <t>GSK211125TWU056</t>
  </si>
  <si>
    <t>GSK211124KGP892</t>
  </si>
  <si>
    <t>KM RORO</t>
  </si>
  <si>
    <t>12/1/2021 RESTU</t>
  </si>
  <si>
    <t>DMD/2111/25/YTAO3920</t>
  </si>
  <si>
    <t>GSK211123BXU320</t>
  </si>
  <si>
    <t>GSK211125MUQ590</t>
  </si>
  <si>
    <t>GSK211125IJC608</t>
  </si>
  <si>
    <t>GSK211123OBS987</t>
  </si>
  <si>
    <t>GSK211124CVG423</t>
  </si>
  <si>
    <t>GSK211125VZT140</t>
  </si>
  <si>
    <t>GSK211125HJA263</t>
  </si>
  <si>
    <t>GSK211123JLA567</t>
  </si>
  <si>
    <t>GSK211125LZT249</t>
  </si>
  <si>
    <t>GSK211123KOX701</t>
  </si>
  <si>
    <t>GSK211124JVP138</t>
  </si>
  <si>
    <t>GSK211125ASK817</t>
  </si>
  <si>
    <t>GSK211125WAC205</t>
  </si>
  <si>
    <t>GSK211124GPJ420</t>
  </si>
  <si>
    <t>GSK211124JXL218</t>
  </si>
  <si>
    <t>GSK211125FUW840</t>
  </si>
  <si>
    <t>GSK211124BHI814</t>
  </si>
  <si>
    <t>GSK211125VSG078</t>
  </si>
  <si>
    <t>GSK211125DIC631</t>
  </si>
  <si>
    <t>GSK211125EBO981</t>
  </si>
  <si>
    <t>GSK211123NZI514</t>
  </si>
  <si>
    <t>GSK211125ZDB692</t>
  </si>
  <si>
    <t>GSK211123FTA568</t>
  </si>
  <si>
    <t>GSK211124TOH492</t>
  </si>
  <si>
    <t>GSK211124XZE169</t>
  </si>
  <si>
    <t>GSK211125IZN749</t>
  </si>
  <si>
    <t>GSK211125IAD849</t>
  </si>
  <si>
    <t>GSK211123ZLW705</t>
  </si>
  <si>
    <t>DMD/2111/25/GAIF8093</t>
  </si>
  <si>
    <t>GSK211123AEG910</t>
  </si>
  <si>
    <t>GSK211125ZLR182</t>
  </si>
  <si>
    <t>GSK211125FZW609</t>
  </si>
  <si>
    <t>GSK211125MXQ685</t>
  </si>
  <si>
    <t>GSK211125XKF157</t>
  </si>
  <si>
    <t>DMD/2111/25/YRUK8203</t>
  </si>
  <si>
    <t>GSK211125LNH678</t>
  </si>
  <si>
    <t>GSK211125NFT624</t>
  </si>
  <si>
    <t>GSK211125UXY297</t>
  </si>
  <si>
    <t>GSK211125NGC730</t>
  </si>
  <si>
    <t>GSK211125NCI087</t>
  </si>
  <si>
    <t>GSK211125MAE486</t>
  </si>
  <si>
    <t>GSK211125NBH961</t>
  </si>
  <si>
    <t>GSK211125JXV507</t>
  </si>
  <si>
    <t>GSK211125RUS804</t>
  </si>
  <si>
    <t>GSK211125VGC983</t>
  </si>
  <si>
    <t>GSK211125KER801</t>
  </si>
  <si>
    <t>GSK211125CKW271</t>
  </si>
  <si>
    <t>GSK211125XGJ157</t>
  </si>
  <si>
    <t>GSK211125NYB879</t>
  </si>
  <si>
    <t>GSK211125PUA607</t>
  </si>
  <si>
    <t>GSK211125VDR734</t>
  </si>
  <si>
    <t>GSK211125DLS623</t>
  </si>
  <si>
    <t>DMD/2111/26/MIXE8362</t>
  </si>
  <si>
    <t>GSK211126KDP172</t>
  </si>
  <si>
    <t>GSK211126JRF583</t>
  </si>
  <si>
    <t>DMD/2111/26/FDQY2349</t>
  </si>
  <si>
    <t>GSK211126LHC674</t>
  </si>
  <si>
    <t>DMD/2111/26/BRCN0461</t>
  </si>
  <si>
    <t>GSK211126RFB987</t>
  </si>
  <si>
    <t>GSK211125WFC067</t>
  </si>
  <si>
    <t>GSK211124BZT173</t>
  </si>
  <si>
    <t>GSK211126CKX637</t>
  </si>
  <si>
    <t>GSK211125UJP681</t>
  </si>
  <si>
    <t>GSK211126ACF147</t>
  </si>
  <si>
    <t>GSK211124YZE490</t>
  </si>
  <si>
    <t>GSK211126LCD549</t>
  </si>
  <si>
    <t>GSK211126IPG964</t>
  </si>
  <si>
    <t>GSK211126FJO504</t>
  </si>
  <si>
    <t>GSK211126CXH642</t>
  </si>
  <si>
    <t>GSK211125RZG976</t>
  </si>
  <si>
    <t>GSK211124JIT932</t>
  </si>
  <si>
    <t>GSK211126NGU948</t>
  </si>
  <si>
    <t>GSK211126OPY736</t>
  </si>
  <si>
    <t>GSK211126SGP327</t>
  </si>
  <si>
    <t>GSK211126SNQ274</t>
  </si>
  <si>
    <t>GSK211126RZH235</t>
  </si>
  <si>
    <t>GSK211126WTR293</t>
  </si>
  <si>
    <t>GSK211125HZS375</t>
  </si>
  <si>
    <t>GSK211125APX980</t>
  </si>
  <si>
    <t>GSK211126QAS379</t>
  </si>
  <si>
    <t>GSK211126RXJ275</t>
  </si>
  <si>
    <t>GSK211126KDJ756</t>
  </si>
  <si>
    <t>GSK211126HMC742</t>
  </si>
  <si>
    <t>GSK211126QPG964</t>
  </si>
  <si>
    <t>GSK211125GYS163</t>
  </si>
  <si>
    <t>DMD/2111/26/RCZT9632</t>
  </si>
  <si>
    <t>GSK211125RCX023</t>
  </si>
  <si>
    <t>GSK211126ELA307</t>
  </si>
  <si>
    <t>GSK211126JTI829</t>
  </si>
  <si>
    <t>GSK211126CJK849</t>
  </si>
  <si>
    <t>DMD/2111/26/NEDH4768</t>
  </si>
  <si>
    <t>GSK211126UAO043</t>
  </si>
  <si>
    <t>GSK211126DWG643</t>
  </si>
  <si>
    <t>GSK211126ORF572</t>
  </si>
  <si>
    <t>GSK211126IZD752</t>
  </si>
  <si>
    <t>GSK211126BKO542</t>
  </si>
  <si>
    <t>GSK211126QPK085</t>
  </si>
  <si>
    <t>GSK211126XTZ305</t>
  </si>
  <si>
    <t>GSK211126CRJ491</t>
  </si>
  <si>
    <t>GSK211126LJY698</t>
  </si>
  <si>
    <t>GSK211126OLK290</t>
  </si>
  <si>
    <t>GSK211126DUL248</t>
  </si>
  <si>
    <t>DMD/2111/26/GQAR9643</t>
  </si>
  <si>
    <t>GSK211126FQG156</t>
  </si>
  <si>
    <t>DMD/2111/27/FROT3740</t>
  </si>
  <si>
    <t>GSK211127SFJ705</t>
  </si>
  <si>
    <t>GSK211127JHG609</t>
  </si>
  <si>
    <t>DMD/2111/27/AMFI9056</t>
  </si>
  <si>
    <t>gsk211127kjz790</t>
  </si>
  <si>
    <t>GSK211125YSR971</t>
  </si>
  <si>
    <t>GSK211127MLZ469</t>
  </si>
  <si>
    <t>GSK211126KZF504</t>
  </si>
  <si>
    <t>GSK211127GLE543</t>
  </si>
  <si>
    <t>GSK211127EZU203</t>
  </si>
  <si>
    <t>GSK211127LBC401</t>
  </si>
  <si>
    <t>GSK211127ACF970</t>
  </si>
  <si>
    <t>GSK211127ETZ061</t>
  </si>
  <si>
    <t>GSK211127ZFV093</t>
  </si>
  <si>
    <t>GSK211127IDB631</t>
  </si>
  <si>
    <t>GSK211127MUH197</t>
  </si>
  <si>
    <t>GSK211127WVD128</t>
  </si>
  <si>
    <t>GSK211127XOM512</t>
  </si>
  <si>
    <t>GSK211127OVD240</t>
  </si>
  <si>
    <t>GSK211127AHZ371</t>
  </si>
  <si>
    <t>GSK211127EPJ219</t>
  </si>
  <si>
    <t>GSK211127MFO821</t>
  </si>
  <si>
    <t>GSK211127VCS763</t>
  </si>
  <si>
    <t>GSK211126NXJ140</t>
  </si>
  <si>
    <t>GSK211125HOL063</t>
  </si>
  <si>
    <t>GSK211125FVJ347</t>
  </si>
  <si>
    <t>GSK211127CUN594</t>
  </si>
  <si>
    <t>GSK211127FSM765</t>
  </si>
  <si>
    <t>GSK211127YXB174</t>
  </si>
  <si>
    <t>GSK211127YLA975</t>
  </si>
  <si>
    <t>GSK211127LGB591</t>
  </si>
  <si>
    <t>GSK211127YMD917</t>
  </si>
  <si>
    <t>GSK211127BOK169</t>
  </si>
  <si>
    <t>GSK211127VKM512</t>
  </si>
  <si>
    <t>GSK211126QUV269</t>
  </si>
  <si>
    <t>DMD/2111/27/NAWY3172</t>
  </si>
  <si>
    <t>GSK211127ISU785</t>
  </si>
  <si>
    <t>GSK211126ENU083</t>
  </si>
  <si>
    <t>GSK211127WVE582</t>
  </si>
  <si>
    <t>GSK211126PEA014</t>
  </si>
  <si>
    <t>DMD/2111/27/XTHG6097</t>
  </si>
  <si>
    <t>GSK211127UVE134</t>
  </si>
  <si>
    <t>GSK211127WZU964</t>
  </si>
  <si>
    <t>GSK211127IHV187</t>
  </si>
  <si>
    <t>GSK211127DWL485</t>
  </si>
  <si>
    <t>GSK211127ZES380</t>
  </si>
  <si>
    <t>GSK211127UXR065</t>
  </si>
  <si>
    <t>GSK211127WEO786</t>
  </si>
  <si>
    <t>GSK211127ZWN625</t>
  </si>
  <si>
    <t>GSK211127JMV475</t>
  </si>
  <si>
    <t>GSK211127RDT590</t>
  </si>
  <si>
    <t>GSK211127ZPK572</t>
  </si>
  <si>
    <t>GSK211127MUI847</t>
  </si>
  <si>
    <t>GSK211127DEI720</t>
  </si>
  <si>
    <t>GSK211127VXR271</t>
  </si>
  <si>
    <t>GSK211127YWL567</t>
  </si>
  <si>
    <t>GSK211127NAO135</t>
  </si>
  <si>
    <t>GSK211127QOU249</t>
  </si>
  <si>
    <t>GSK211127UAQ379</t>
  </si>
  <si>
    <t>GSK211127AVW406</t>
  </si>
  <si>
    <t>GSK211127NJW062</t>
  </si>
  <si>
    <t>GSK211127JBQ813</t>
  </si>
  <si>
    <t>GSK211127UKF189</t>
  </si>
  <si>
    <t>GSK211127DHV712</t>
  </si>
  <si>
    <t>GSK211127FIO740</t>
  </si>
  <si>
    <t>GSK211127MVQ285</t>
  </si>
  <si>
    <t>GSK211127KQJ852</t>
  </si>
  <si>
    <t>GSK211127NAU731</t>
  </si>
  <si>
    <t>GSK211127QYC084</t>
  </si>
  <si>
    <t>GSK211127VAM416</t>
  </si>
  <si>
    <t>GSK211127ANG852</t>
  </si>
  <si>
    <t>GSK211127MOS234</t>
  </si>
  <si>
    <t>GSK211127PHB165</t>
  </si>
  <si>
    <t>GSK211127QSO184</t>
  </si>
  <si>
    <t>DMD/2111/28/ZSVT3906</t>
  </si>
  <si>
    <t>GSK211128BJY379</t>
  </si>
  <si>
    <t>GSK211128PTJ356</t>
  </si>
  <si>
    <t>GSK211128TXO358</t>
  </si>
  <si>
    <t>12/4/2021 RESTU</t>
  </si>
  <si>
    <t>DMD/2111/28/VCYB9312</t>
  </si>
  <si>
    <t>GSK211128MZI931</t>
  </si>
  <si>
    <t>GSK211128PZR683</t>
  </si>
  <si>
    <t>GSK211128ZUW261</t>
  </si>
  <si>
    <t>GSK211128WLU421</t>
  </si>
  <si>
    <t>DMD/2111/28/YWRJ2437</t>
  </si>
  <si>
    <t>GSK211128CJW378</t>
  </si>
  <si>
    <t>GSK211128QSW561</t>
  </si>
  <si>
    <t>GSK211128SEQ981</t>
  </si>
  <si>
    <t>GSK211128PDQ028</t>
  </si>
  <si>
    <t>GSK211128YUW271</t>
  </si>
  <si>
    <t>GSK211128IMA465</t>
  </si>
  <si>
    <t>GSK211128BSG723</t>
  </si>
  <si>
    <t>GSK211128EWI437</t>
  </si>
  <si>
    <t>GSK211128RGU104</t>
  </si>
  <si>
    <t>GSK211128CEX654</t>
  </si>
  <si>
    <t>GSK211126BEA096</t>
  </si>
  <si>
    <t>GSK211127WBE903</t>
  </si>
  <si>
    <t>GSK211128NTK860</t>
  </si>
  <si>
    <t>GSK211127WPO408</t>
  </si>
  <si>
    <t>GSK211127BQA213</t>
  </si>
  <si>
    <t>GSK211127HMS685</t>
  </si>
  <si>
    <t>GSK211126GES324</t>
  </si>
  <si>
    <t>GSK211127IPY385</t>
  </si>
  <si>
    <t>GSK211128JNM356</t>
  </si>
  <si>
    <t>GSK211128GWX947</t>
  </si>
  <si>
    <t>GSK211128MEK210</t>
  </si>
  <si>
    <t>GSK211128KOR395</t>
  </si>
  <si>
    <t>GSK211128DBZ195</t>
  </si>
  <si>
    <t>DMD/2111/28/ZRQI5396</t>
  </si>
  <si>
    <t>GSK211128THZ891</t>
  </si>
  <si>
    <t>GSK211126YNZ390</t>
  </si>
  <si>
    <t>GSK211128GZY891</t>
  </si>
  <si>
    <t>GSK211128DNJ642</t>
  </si>
  <si>
    <t>GSK211128ZQM137</t>
  </si>
  <si>
    <t>DMD/2111/28/IEJM4302</t>
  </si>
  <si>
    <t>GSK211128ABK097</t>
  </si>
  <si>
    <t>GSK211128YXF952</t>
  </si>
  <si>
    <t>GSK211128OQZ247</t>
  </si>
  <si>
    <t>GSK211128FBZ256</t>
  </si>
  <si>
    <t>GSK211128HUE107</t>
  </si>
  <si>
    <t>GSK211128MHL693</t>
  </si>
  <si>
    <t>GSK211128VGL173</t>
  </si>
  <si>
    <t>GSK211128IOC408</t>
  </si>
  <si>
    <t>GSK211128XDJ942</t>
  </si>
  <si>
    <t>GSK211128DIY518</t>
  </si>
  <si>
    <t>GSK211127DZM691</t>
  </si>
  <si>
    <t>DMD/2111/29/TOJU1968</t>
  </si>
  <si>
    <t>GSK211129EMC507</t>
  </si>
  <si>
    <t>GSK211129IED041</t>
  </si>
  <si>
    <t>DMD/2111/29/GPTX6315</t>
  </si>
  <si>
    <t>GSK211128XBL097</t>
  </si>
  <si>
    <t>GSK211128CZM931</t>
  </si>
  <si>
    <t>GSK211129WAL360</t>
  </si>
  <si>
    <t>GSK211128LXW643</t>
  </si>
  <si>
    <t>GSK211129NGF216</t>
  </si>
  <si>
    <t>GSK211128BQY768</t>
  </si>
  <si>
    <t>GSK211128CGD279</t>
  </si>
  <si>
    <t>GSK211129FKR628</t>
  </si>
  <si>
    <t>GSK211128BUV367</t>
  </si>
  <si>
    <t>GSK211129LYW369</t>
  </si>
  <si>
    <t>GSK211129TWA972</t>
  </si>
  <si>
    <t>DMD/2111/29/BWCI1460</t>
  </si>
  <si>
    <t>GSK211128GCT730</t>
  </si>
  <si>
    <t>GSK211129WFB749</t>
  </si>
  <si>
    <t>DMD/2111/30/WFPN8930</t>
  </si>
  <si>
    <t>GSK211130WVC972</t>
  </si>
  <si>
    <t>GSK211130CEG968</t>
  </si>
  <si>
    <t>GSK211130HIJ283</t>
  </si>
  <si>
    <t>GSK211130MSB842</t>
  </si>
  <si>
    <t>DMD/2111/30/AWKI5284</t>
  </si>
  <si>
    <t>GSK211130VNP823</t>
  </si>
  <si>
    <t>DMD/2111/30/EAON2815</t>
  </si>
  <si>
    <t>GSK211130QBC016</t>
  </si>
  <si>
    <t>GSK211129XFQ789</t>
  </si>
  <si>
    <t>GSK211130NUP670</t>
  </si>
  <si>
    <t>GSK211130COF819</t>
  </si>
  <si>
    <t>GSK211130HFK840</t>
  </si>
  <si>
    <t>GSK211130IBW375</t>
  </si>
  <si>
    <t>GSK211130SME915</t>
  </si>
  <si>
    <t>GSK211130PZJ925</t>
  </si>
  <si>
    <t>GSK211130ZBP806</t>
  </si>
  <si>
    <t>GSK211130RVS859</t>
  </si>
  <si>
    <t>GSK211128JYK530</t>
  </si>
  <si>
    <t>GSK211130UVK187</t>
  </si>
  <si>
    <t>GSK211130CLZ459</t>
  </si>
  <si>
    <t>GSK211130FVR790</t>
  </si>
  <si>
    <t>GSK211128RYQ174</t>
  </si>
  <si>
    <t>GSK211130IUX258</t>
  </si>
  <si>
    <t>GSK211129JEF734</t>
  </si>
  <si>
    <t>GSK211129YRU051</t>
  </si>
  <si>
    <t>GSK211130YRG579</t>
  </si>
  <si>
    <t>GSK211130BZR603</t>
  </si>
  <si>
    <t>GSK211130JVG419</t>
  </si>
  <si>
    <t>GSK211130ATO378</t>
  </si>
  <si>
    <t>GSK211130KTB542</t>
  </si>
  <si>
    <t>GSK211130CNG068</t>
  </si>
  <si>
    <t>GSK211130DES983</t>
  </si>
  <si>
    <t>GSK211130GVO905</t>
  </si>
  <si>
    <t>GSK211130ROM523</t>
  </si>
  <si>
    <t>GSK211130UAD462</t>
  </si>
  <si>
    <t>GSK211130HQE026</t>
  </si>
  <si>
    <t>GSK211130IHY738</t>
  </si>
  <si>
    <t>GSK211129LGF217</t>
  </si>
  <si>
    <t>GSK211130MGK194</t>
  </si>
  <si>
    <t>GSK211130CWS628</t>
  </si>
  <si>
    <t>GSK211130EBX094</t>
  </si>
  <si>
    <t>GSK211130IZL526</t>
  </si>
  <si>
    <t>GSK211130DIE693</t>
  </si>
  <si>
    <t>DMD/2111/30/RAEU1486</t>
  </si>
  <si>
    <t>GSK211130PID567</t>
  </si>
  <si>
    <t>GSK211130HPK128</t>
  </si>
  <si>
    <t>DMD/2111/30/GYML2870</t>
  </si>
  <si>
    <t>GSK211130IPD531</t>
  </si>
  <si>
    <t>DMD/2111/30/SBXJ0396</t>
  </si>
  <si>
    <t>GSK211130ZCT876</t>
  </si>
  <si>
    <t>GSK211130VCH976</t>
  </si>
  <si>
    <t>PENGIRIMAN BARANG TUJUAN BATAM</t>
  </si>
  <si>
    <t xml:space="preserve"> 049/PCI/PI/XII/21</t>
  </si>
  <si>
    <t xml:space="preserve"> 08 Desember 21</t>
  </si>
  <si>
    <t>21 - 30 November 21</t>
  </si>
  <si>
    <t>12/1/2021 SAKA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</si>
  <si>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Puluh Delapan Juta Tiga Ratus Tiga Puluh Tujuh Ribu Tujuh Ratus Dua Belas Rupiah.</t>
    </r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</si>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</sst>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1" fontId="9" fillId="4" borderId="1" xfId="3" applyNumberFormat="1" applyFont="1" applyFill="1" applyBorder="1" applyAlignment="1">
      <alignment horizontal="center" vertical="center" wrapText="1"/>
    </xf>
    <xf numFmtId="1" fontId="9" fillId="4" borderId="4" xfId="3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42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304800</xdr:colOff>
      <xdr:row>1</xdr:row>
      <xdr:rowOff>60513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260538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12</xdr:col>
      <xdr:colOff>190500</xdr:colOff>
      <xdr:row>59</xdr:row>
      <xdr:rowOff>1304</xdr:rowOff>
    </xdr:from>
    <xdr:to>
      <xdr:col>16</xdr:col>
      <xdr:colOff>514350</xdr:colOff>
      <xdr:row>65</xdr:row>
      <xdr:rowOff>47624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9300" y="25147304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224578910112" displayName="Table224578910112" ref="C2:N4" totalsRowShown="0" headerRowDxfId="421" dataDxfId="419" headerRowBorderDxfId="420">
  <tableColumns count="12">
    <tableColumn id="1" name="NOMOR" dataDxfId="418" dataCellStyle="Normal"/>
    <tableColumn id="3" name="TUJUAN" dataDxfId="417" dataCellStyle="Normal"/>
    <tableColumn id="16" name="Pick Up" dataDxfId="416"/>
    <tableColumn id="14" name="KAPAL" dataDxfId="415"/>
    <tableColumn id="15" name="ETD Kapal" dataDxfId="414"/>
    <tableColumn id="10" name="KETERANGAN" dataDxfId="413" dataCellStyle="Normal"/>
    <tableColumn id="5" name="P" dataDxfId="412" dataCellStyle="Normal"/>
    <tableColumn id="6" name="L" dataDxfId="411" dataCellStyle="Normal"/>
    <tableColumn id="7" name="T" dataDxfId="410" dataCellStyle="Normal"/>
    <tableColumn id="4" name="ACT KG" dataDxfId="409" dataCellStyle="Normal"/>
    <tableColumn id="8" name="KG VOLUME" dataDxfId="408" dataCellStyle="Normal"/>
    <tableColumn id="19" name="PEMBULATAN" dataDxfId="407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0" name="Table22457891011234567891011" displayName="Table22457891011234567891011" ref="C2:N8" totalsRowShown="0" headerRowDxfId="262" dataDxfId="260" headerRowBorderDxfId="261">
  <tableColumns count="12">
    <tableColumn id="1" name="NOMOR" dataDxfId="259" dataCellStyle="Normal"/>
    <tableColumn id="3" name="TUJUAN" dataDxfId="258" dataCellStyle="Normal"/>
    <tableColumn id="16" name="Pick Up" dataDxfId="257"/>
    <tableColumn id="14" name="KAPAL" dataDxfId="256"/>
    <tableColumn id="15" name="ETD Kapal" dataDxfId="255"/>
    <tableColumn id="10" name="KETERANGAN" dataDxfId="254" dataCellStyle="Normal"/>
    <tableColumn id="5" name="P" dataDxfId="253" dataCellStyle="Normal"/>
    <tableColumn id="6" name="L" dataDxfId="252" dataCellStyle="Normal"/>
    <tableColumn id="7" name="T" dataDxfId="251" dataCellStyle="Normal"/>
    <tableColumn id="4" name="ACT KG" dataDxfId="250" dataCellStyle="Normal"/>
    <tableColumn id="8" name="KG VOLUME" dataDxfId="249" dataCellStyle="Normal"/>
    <tableColumn id="19" name="PEMBULATAN" dataDxfId="248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1" name="Table2245789101123456789101112" displayName="Table2245789101123456789101112" ref="C2:N52" totalsRowShown="0" headerRowDxfId="244" dataDxfId="242" headerRowBorderDxfId="243">
  <tableColumns count="12">
    <tableColumn id="1" name="NOMOR" dataDxfId="241" dataCellStyle="Normal"/>
    <tableColumn id="3" name="TUJUAN" dataDxfId="240" dataCellStyle="Normal"/>
    <tableColumn id="16" name="Pick Up" dataDxfId="239"/>
    <tableColumn id="14" name="KAPAL" dataDxfId="238"/>
    <tableColumn id="15" name="ETD Kapal" dataDxfId="237"/>
    <tableColumn id="10" name="KETERANGAN" dataDxfId="236" dataCellStyle="Normal"/>
    <tableColumn id="5" name="P" dataDxfId="235" dataCellStyle="Normal"/>
    <tableColumn id="6" name="L" dataDxfId="234" dataCellStyle="Normal"/>
    <tableColumn id="7" name="T" dataDxfId="233" dataCellStyle="Normal"/>
    <tableColumn id="4" name="ACT KG" dataDxfId="232" dataCellStyle="Normal"/>
    <tableColumn id="8" name="KG VOLUME" dataDxfId="231" dataCellStyle="Normal"/>
    <tableColumn id="19" name="PEMBULATAN" dataDxfId="230"/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2" name="Table224578910112345678910111213" displayName="Table224578910112345678910111213" ref="C2:N5" totalsRowShown="0" headerRowDxfId="226" dataDxfId="224" headerRowBorderDxfId="225">
  <tableColumns count="12">
    <tableColumn id="1" name="NOMOR" dataDxfId="223" dataCellStyle="Normal"/>
    <tableColumn id="3" name="TUJUAN" dataDxfId="222" dataCellStyle="Normal"/>
    <tableColumn id="16" name="Pick Up" dataDxfId="221"/>
    <tableColumn id="14" name="KAPAL" dataDxfId="220"/>
    <tableColumn id="15" name="ETD Kapal" dataDxfId="219"/>
    <tableColumn id="10" name="KETERANGAN" dataDxfId="218" dataCellStyle="Normal"/>
    <tableColumn id="5" name="P" dataDxfId="217" dataCellStyle="Normal"/>
    <tableColumn id="6" name="L" dataDxfId="216" dataCellStyle="Normal"/>
    <tableColumn id="7" name="T" dataDxfId="215" dataCellStyle="Normal"/>
    <tableColumn id="4" name="ACT KG" dataDxfId="214" dataCellStyle="Normal"/>
    <tableColumn id="8" name="KG VOLUME" dataDxfId="213" dataCellStyle="Normal"/>
    <tableColumn id="19" name="PEMBULATAN" dataDxfId="212"/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id="13" name="Table22457891011234567891011121314" displayName="Table22457891011234567891011121314" ref="C2:N33" totalsRowShown="0" headerRowDxfId="208" dataDxfId="206" headerRowBorderDxfId="207">
  <tableColumns count="12">
    <tableColumn id="1" name="NOMOR" dataDxfId="205" dataCellStyle="Normal"/>
    <tableColumn id="3" name="TUJUAN" dataDxfId="204" dataCellStyle="Normal"/>
    <tableColumn id="16" name="Pick Up" dataDxfId="203"/>
    <tableColumn id="14" name="KAPAL" dataDxfId="202"/>
    <tableColumn id="15" name="ETD Kapal" dataDxfId="201"/>
    <tableColumn id="10" name="KETERANGAN" dataDxfId="200" dataCellStyle="Normal"/>
    <tableColumn id="5" name="P" dataDxfId="199" dataCellStyle="Normal"/>
    <tableColumn id="6" name="L" dataDxfId="198" dataCellStyle="Normal"/>
    <tableColumn id="7" name="T" dataDxfId="197" dataCellStyle="Normal"/>
    <tableColumn id="4" name="ACT KG" dataDxfId="196" dataCellStyle="Normal"/>
    <tableColumn id="8" name="KG VOLUME" dataDxfId="195" dataCellStyle="Normal"/>
    <tableColumn id="19" name="PEMBULATAN" dataDxfId="194"/>
  </tableColumns>
  <tableStyleInfo name="Table Style 1" showFirstColumn="0" showLastColumn="0" showRowStripes="1" showColumnStripes="0"/>
</table>
</file>

<file path=xl/tables/table14.xml><?xml version="1.0" encoding="utf-8"?>
<table xmlns="http://schemas.openxmlformats.org/spreadsheetml/2006/main" id="14" name="Table2245789101123456789101112131415" displayName="Table2245789101123456789101112131415" ref="C2:N14" totalsRowShown="0" headerRowDxfId="190" dataDxfId="188" headerRowBorderDxfId="189">
  <tableColumns count="12">
    <tableColumn id="1" name="NOMOR" dataDxfId="187" dataCellStyle="Normal"/>
    <tableColumn id="3" name="TUJUAN" dataDxfId="186" dataCellStyle="Normal"/>
    <tableColumn id="16" name="Pick Up" dataDxfId="185"/>
    <tableColumn id="14" name="KAPAL" dataDxfId="184"/>
    <tableColumn id="15" name="ETD Kapal" dataDxfId="183"/>
    <tableColumn id="10" name="KETERANGAN" dataDxfId="182" dataCellStyle="Normal"/>
    <tableColumn id="5" name="P" dataDxfId="181" dataCellStyle="Normal"/>
    <tableColumn id="6" name="L" dataDxfId="180" dataCellStyle="Normal"/>
    <tableColumn id="7" name="T" dataDxfId="179" dataCellStyle="Normal"/>
    <tableColumn id="4" name="ACT KG" dataDxfId="178" dataCellStyle="Normal"/>
    <tableColumn id="8" name="KG VOLUME" dataDxfId="177" dataCellStyle="Normal"/>
    <tableColumn id="19" name="PEMBULATAN" dataDxfId="176"/>
  </tableColumns>
  <tableStyleInfo name="Table Style 1" showFirstColumn="0" showLastColumn="0" showRowStripes="1" showColumnStripes="0"/>
</table>
</file>

<file path=xl/tables/table15.xml><?xml version="1.0" encoding="utf-8"?>
<table xmlns="http://schemas.openxmlformats.org/spreadsheetml/2006/main" id="15" name="Table224578910112345678910111213141516" displayName="Table224578910112345678910111213141516" ref="C2:N4" totalsRowShown="0" headerRowDxfId="173" dataDxfId="171" headerRowBorderDxfId="172">
  <tableColumns count="12">
    <tableColumn id="1" name="NOMOR" dataDxfId="170" dataCellStyle="Normal"/>
    <tableColumn id="3" name="TUJUAN" dataDxfId="169" dataCellStyle="Normal"/>
    <tableColumn id="16" name="Pick Up" dataDxfId="168"/>
    <tableColumn id="14" name="KAPAL" dataDxfId="167"/>
    <tableColumn id="15" name="ETD Kapal" dataDxfId="166"/>
    <tableColumn id="10" name="KETERANGAN" dataDxfId="165" dataCellStyle="Normal"/>
    <tableColumn id="5" name="P" dataDxfId="164" dataCellStyle="Normal"/>
    <tableColumn id="6" name="L" dataDxfId="163" dataCellStyle="Normal"/>
    <tableColumn id="7" name="T" dataDxfId="162" dataCellStyle="Normal"/>
    <tableColumn id="4" name="ACT KG" dataDxfId="161" dataCellStyle="Normal"/>
    <tableColumn id="8" name="KG VOLUME" dataDxfId="160" dataCellStyle="Normal"/>
    <tableColumn id="19" name="PEMBULATAN" dataDxfId="159"/>
  </tableColumns>
  <tableStyleInfo name="Table Style 1" showFirstColumn="0" showLastColumn="0" showRowStripes="1" showColumnStripes="0"/>
</table>
</file>

<file path=xl/tables/table16.xml><?xml version="1.0" encoding="utf-8"?>
<table xmlns="http://schemas.openxmlformats.org/spreadsheetml/2006/main" id="16" name="Table22457891011234567891011121314151617" displayName="Table22457891011234567891011121314151617" ref="C2:N70" totalsRowShown="0" headerRowDxfId="157" dataDxfId="155" headerRowBorderDxfId="156">
  <tableColumns count="12">
    <tableColumn id="1" name="NOMOR" dataDxfId="154" dataCellStyle="Normal"/>
    <tableColumn id="3" name="TUJUAN" dataDxfId="153" dataCellStyle="Normal"/>
    <tableColumn id="16" name="Pick Up" dataDxfId="152"/>
    <tableColumn id="14" name="KAPAL" dataDxfId="151"/>
    <tableColumn id="15" name="ETD Kapal" dataDxfId="150"/>
    <tableColumn id="10" name="KETERANGAN" dataDxfId="149" dataCellStyle="Normal"/>
    <tableColumn id="5" name="P" dataDxfId="148" dataCellStyle="Normal"/>
    <tableColumn id="6" name="L" dataDxfId="147" dataCellStyle="Normal"/>
    <tableColumn id="7" name="T" dataDxfId="146" dataCellStyle="Normal"/>
    <tableColumn id="4" name="ACT KG" dataDxfId="145" dataCellStyle="Normal"/>
    <tableColumn id="8" name="KG VOLUME" dataDxfId="144" dataCellStyle="Normal"/>
    <tableColumn id="19" name="PEMBULATAN" dataDxfId="143"/>
  </tableColumns>
  <tableStyleInfo name="Table Style 1" showFirstColumn="0" showLastColumn="0" showRowStripes="1" showColumnStripes="0"/>
</table>
</file>

<file path=xl/tables/table17.xml><?xml version="1.0" encoding="utf-8"?>
<table xmlns="http://schemas.openxmlformats.org/spreadsheetml/2006/main" id="17" name="Table2245789101123456789101112131415161718" displayName="Table2245789101123456789101112131415161718" ref="C2:N5" totalsRowShown="0" headerRowDxfId="139" dataDxfId="137" headerRowBorderDxfId="138">
  <tableColumns count="12">
    <tableColumn id="1" name="NOMOR" dataDxfId="136" dataCellStyle="Normal"/>
    <tableColumn id="3" name="TUJUAN" dataDxfId="135" dataCellStyle="Normal"/>
    <tableColumn id="16" name="Pick Up" dataDxfId="134"/>
    <tableColumn id="14" name="KAPAL" dataDxfId="133"/>
    <tableColumn id="15" name="ETD Kapal" dataDxfId="132"/>
    <tableColumn id="10" name="KETERANGAN" dataDxfId="131" dataCellStyle="Normal"/>
    <tableColumn id="5" name="P" dataDxfId="130" dataCellStyle="Normal"/>
    <tableColumn id="6" name="L" dataDxfId="129" dataCellStyle="Normal"/>
    <tableColumn id="7" name="T" dataDxfId="128" dataCellStyle="Normal"/>
    <tableColumn id="4" name="ACT KG" dataDxfId="127" dataCellStyle="Normal"/>
    <tableColumn id="8" name="KG VOLUME" dataDxfId="126" dataCellStyle="Normal"/>
    <tableColumn id="19" name="PEMBULATAN" dataDxfId="125"/>
  </tableColumns>
  <tableStyleInfo name="Table Style 1" showFirstColumn="0" showLastColumn="0" showRowStripes="1" showColumnStripes="0"/>
</table>
</file>

<file path=xl/tables/table18.xml><?xml version="1.0" encoding="utf-8"?>
<table xmlns="http://schemas.openxmlformats.org/spreadsheetml/2006/main" id="18" name="Table224578910112345678910111213141516171819" displayName="Table224578910112345678910111213141516171819" ref="C2:N6" totalsRowShown="0" headerRowDxfId="121" dataDxfId="119" headerRowBorderDxfId="120">
  <tableColumns count="12">
    <tableColumn id="1" name="NOMOR" dataDxfId="118" dataCellStyle="Normal"/>
    <tableColumn id="3" name="TUJUAN" dataDxfId="117" dataCellStyle="Normal"/>
    <tableColumn id="16" name="Pick Up" dataDxfId="116"/>
    <tableColumn id="14" name="KAPAL" dataDxfId="115"/>
    <tableColumn id="15" name="ETD Kapal" dataDxfId="114"/>
    <tableColumn id="10" name="KETERANGAN" dataDxfId="113" dataCellStyle="Normal"/>
    <tableColumn id="5" name="P" dataDxfId="112" dataCellStyle="Normal"/>
    <tableColumn id="6" name="L" dataDxfId="111" dataCellStyle="Normal"/>
    <tableColumn id="7" name="T" dataDxfId="110" dataCellStyle="Normal"/>
    <tableColumn id="4" name="ACT KG" dataDxfId="109" dataCellStyle="Normal"/>
    <tableColumn id="8" name="KG VOLUME" dataDxfId="108" dataCellStyle="Normal"/>
    <tableColumn id="19" name="PEMBULATAN" dataDxfId="107"/>
  </tableColumns>
  <tableStyleInfo name="Table Style 1" showFirstColumn="0" showLastColumn="0" showRowStripes="1" showColumnStripes="0"/>
</table>
</file>

<file path=xl/tables/table19.xml><?xml version="1.0" encoding="utf-8"?>
<table xmlns="http://schemas.openxmlformats.org/spreadsheetml/2006/main" id="19" name="Table22457891011234567891011121314151617181920" displayName="Table22457891011234567891011121314151617181920" ref="C2:N30" totalsRowShown="0" headerRowDxfId="103" dataDxfId="101" headerRowBorderDxfId="102">
  <tableColumns count="12">
    <tableColumn id="1" name="NOMOR" dataDxfId="100" dataCellStyle="Normal"/>
    <tableColumn id="3" name="TUJUAN" dataDxfId="99" dataCellStyle="Normal"/>
    <tableColumn id="16" name="Pick Up" dataDxfId="98"/>
    <tableColumn id="14" name="KAPAL" dataDxfId="97"/>
    <tableColumn id="15" name="ETD Kapal" dataDxfId="96"/>
    <tableColumn id="10" name="KETERANGAN" dataDxfId="95" dataCellStyle="Normal"/>
    <tableColumn id="5" name="P" dataDxfId="94" dataCellStyle="Normal"/>
    <tableColumn id="6" name="L" dataDxfId="93" dataCellStyle="Normal"/>
    <tableColumn id="7" name="T" dataDxfId="92" dataCellStyle="Normal"/>
    <tableColumn id="4" name="ACT KG" dataDxfId="91" dataCellStyle="Normal"/>
    <tableColumn id="8" name="KG VOLUME" dataDxfId="90" dataCellStyle="Normal"/>
    <tableColumn id="19" name="PEMBULATAN" dataDxfId="89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2" name="Table2245789101123" displayName="Table2245789101123" ref="C2:N44" totalsRowShown="0" headerRowDxfId="403" dataDxfId="401" headerRowBorderDxfId="402">
  <tableColumns count="12">
    <tableColumn id="1" name="NOMOR" dataDxfId="400" dataCellStyle="Normal"/>
    <tableColumn id="3" name="TUJUAN" dataDxfId="399" dataCellStyle="Normal"/>
    <tableColumn id="16" name="Pick Up" dataDxfId="398"/>
    <tableColumn id="14" name="KAPAL" dataDxfId="397"/>
    <tableColumn id="15" name="ETD Kapal" dataDxfId="396"/>
    <tableColumn id="10" name="KETERANGAN" dataDxfId="395" dataCellStyle="Normal"/>
    <tableColumn id="5" name="P" dataDxfId="394" dataCellStyle="Normal"/>
    <tableColumn id="6" name="L" dataDxfId="393" dataCellStyle="Normal"/>
    <tableColumn id="7" name="T" dataDxfId="392" dataCellStyle="Normal"/>
    <tableColumn id="4" name="ACT KG" dataDxfId="391" dataCellStyle="Normal"/>
    <tableColumn id="8" name="KG VOLUME" dataDxfId="390" dataCellStyle="Normal"/>
    <tableColumn id="19" name="PEMBULATAN" dataDxfId="389"/>
  </tableColumns>
  <tableStyleInfo name="Table Style 1" showFirstColumn="0" showLastColumn="0" showRowStripes="1" showColumnStripes="0"/>
</table>
</file>

<file path=xl/tables/table20.xml><?xml version="1.0" encoding="utf-8"?>
<table xmlns="http://schemas.openxmlformats.org/spreadsheetml/2006/main" id="20" name="Table2245789101123456789101112131415161718192021" displayName="Table2245789101123456789101112131415161718192021" ref="C2:N13" totalsRowShown="0" headerRowDxfId="85" dataDxfId="83" headerRowBorderDxfId="84">
  <tableColumns count="12">
    <tableColumn id="1" name="NOMOR" dataDxfId="82" dataCellStyle="Normal"/>
    <tableColumn id="3" name="TUJUAN" dataDxfId="81" dataCellStyle="Normal"/>
    <tableColumn id="16" name="Pick Up" dataDxfId="80"/>
    <tableColumn id="14" name="KAPAL" dataDxfId="79"/>
    <tableColumn id="15" name="ETD Kapal" dataDxfId="78"/>
    <tableColumn id="10" name="KETERANGAN" dataDxfId="77" dataCellStyle="Normal"/>
    <tableColumn id="5" name="P" dataDxfId="76" dataCellStyle="Normal"/>
    <tableColumn id="6" name="L" dataDxfId="75" dataCellStyle="Normal"/>
    <tableColumn id="7" name="T" dataDxfId="74" dataCellStyle="Normal"/>
    <tableColumn id="4" name="ACT KG" dataDxfId="73" dataCellStyle="Normal"/>
    <tableColumn id="8" name="KG VOLUME" dataDxfId="72" dataCellStyle="Normal"/>
    <tableColumn id="19" name="PEMBULATAN" dataDxfId="71"/>
  </tableColumns>
  <tableStyleInfo name="Table Style 1" showFirstColumn="0" showLastColumn="0" showRowStripes="1" showColumnStripes="0"/>
</table>
</file>

<file path=xl/tables/table21.xml><?xml version="1.0" encoding="utf-8"?>
<table xmlns="http://schemas.openxmlformats.org/spreadsheetml/2006/main" id="21" name="Table224578910112345678910111213141516171819202122" displayName="Table224578910112345678910111213141516171819202122" ref="C2:N4" totalsRowShown="0" headerRowDxfId="68" dataDxfId="66" headerRowBorderDxfId="67">
  <tableColumns count="12">
    <tableColumn id="1" name="NOMOR" dataDxfId="65" dataCellStyle="Normal"/>
    <tableColumn id="3" name="TUJUAN" dataDxfId="64" dataCellStyle="Normal"/>
    <tableColumn id="16" name="Pick Up" dataDxfId="63"/>
    <tableColumn id="14" name="KAPAL" dataDxfId="62"/>
    <tableColumn id="15" name="ETD Kapal" dataDxfId="61"/>
    <tableColumn id="10" name="KETERANGAN" dataDxfId="60" dataCellStyle="Normal"/>
    <tableColumn id="5" name="P" dataDxfId="59" dataCellStyle="Normal"/>
    <tableColumn id="6" name="L" dataDxfId="58" dataCellStyle="Normal"/>
    <tableColumn id="7" name="T" dataDxfId="57" dataCellStyle="Normal"/>
    <tableColumn id="4" name="ACT KG" dataDxfId="56" dataCellStyle="Normal"/>
    <tableColumn id="8" name="KG VOLUME" dataDxfId="55" dataCellStyle="Normal"/>
    <tableColumn id="19" name="PEMBULATAN" dataDxfId="54"/>
  </tableColumns>
  <tableStyleInfo name="Table Style 1" showFirstColumn="0" showLastColumn="0" showRowStripes="1" showColumnStripes="0"/>
</table>
</file>

<file path=xl/tables/table22.xml><?xml version="1.0" encoding="utf-8"?>
<table xmlns="http://schemas.openxmlformats.org/spreadsheetml/2006/main" id="22" name="Table22457891011234567891011121314151617181920212223" displayName="Table22457891011234567891011121314151617181920212223" ref="C2:N15" totalsRowShown="0" headerRowDxfId="50" dataDxfId="48" headerRowBorderDxfId="49">
  <tableColumns count="12">
    <tableColumn id="1" name="NOMOR" dataDxfId="47" dataCellStyle="Normal"/>
    <tableColumn id="3" name="TUJUAN" dataDxfId="46" dataCellStyle="Normal"/>
    <tableColumn id="16" name="Pick Up" dataDxfId="45"/>
    <tableColumn id="14" name="KAPAL" dataDxfId="44"/>
    <tableColumn id="15" name="ETD Kapal" dataDxfId="43"/>
    <tableColumn id="10" name="KETERANGAN" dataDxfId="42" dataCellStyle="Normal"/>
    <tableColumn id="5" name="P" dataDxfId="41" dataCellStyle="Normal"/>
    <tableColumn id="6" name="L" dataDxfId="40" dataCellStyle="Normal"/>
    <tableColumn id="7" name="T" dataDxfId="39" dataCellStyle="Normal"/>
    <tableColumn id="4" name="ACT KG" dataDxfId="38" dataCellStyle="Normal"/>
    <tableColumn id="8" name="KG VOLUME" dataDxfId="37" dataCellStyle="Normal"/>
    <tableColumn id="19" name="PEMBULATAN" dataDxfId="36"/>
  </tableColumns>
  <tableStyleInfo name="Table Style 1" showFirstColumn="0" showLastColumn="0" showRowStripes="1" showColumnStripes="0"/>
</table>
</file>

<file path=xl/tables/table23.xml><?xml version="1.0" encoding="utf-8"?>
<table xmlns="http://schemas.openxmlformats.org/spreadsheetml/2006/main" id="23" name="Table2245789101123456789101112131415161718192021222324" displayName="Table2245789101123456789101112131415161718192021222324" ref="C2:N7" totalsRowShown="0" headerRowDxfId="32" dataDxfId="30" headerRowBorderDxfId="31">
  <tableColumns count="12">
    <tableColumn id="1" name="NOMOR" dataDxfId="29" dataCellStyle="Normal"/>
    <tableColumn id="3" name="TUJUAN" dataDxfId="28" dataCellStyle="Normal"/>
    <tableColumn id="16" name="Pick Up" dataDxfId="27"/>
    <tableColumn id="14" name="KAPAL" dataDxfId="26"/>
    <tableColumn id="15" name="ETD Kapal" dataDxfId="25"/>
    <tableColumn id="10" name="KETERANGAN" dataDxfId="24" dataCellStyle="Normal"/>
    <tableColumn id="5" name="P" dataDxfId="23" dataCellStyle="Normal"/>
    <tableColumn id="6" name="L" dataDxfId="22" dataCellStyle="Normal"/>
    <tableColumn id="7" name="T" dataDxfId="21" dataCellStyle="Normal"/>
    <tableColumn id="4" name="ACT KG" dataDxfId="20" dataCellStyle="Normal"/>
    <tableColumn id="8" name="KG VOLUME" dataDxfId="19" dataCellStyle="Normal"/>
    <tableColumn id="19" name="PEMBULATAN" dataDxfId="18"/>
  </tableColumns>
  <tableStyleInfo name="Table Style 1" showFirstColumn="0" showLastColumn="0" showRowStripes="1" showColumnStripes="0"/>
</table>
</file>

<file path=xl/tables/table24.xml><?xml version="1.0" encoding="utf-8"?>
<table xmlns="http://schemas.openxmlformats.org/spreadsheetml/2006/main" id="24" name="Table224578910112345678910111213141516171819202122232425" displayName="Table224578910112345678910111213141516171819202122232425" ref="C2:N43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3" name="Table22457891011234" displayName="Table22457891011234" ref="C2:N4" totalsRowShown="0" headerRowDxfId="386" dataDxfId="384" headerRowBorderDxfId="385">
  <tableColumns count="12">
    <tableColumn id="1" name="NOMOR" dataDxfId="383" dataCellStyle="Normal"/>
    <tableColumn id="3" name="TUJUAN" dataDxfId="382" dataCellStyle="Normal"/>
    <tableColumn id="16" name="Pick Up" dataDxfId="381"/>
    <tableColumn id="14" name="KAPAL" dataDxfId="380"/>
    <tableColumn id="15" name="ETD Kapal" dataDxfId="379"/>
    <tableColumn id="10" name="KETERANGAN" dataDxfId="378" dataCellStyle="Normal"/>
    <tableColumn id="5" name="P" dataDxfId="377" dataCellStyle="Normal"/>
    <tableColumn id="6" name="L" dataDxfId="376" dataCellStyle="Normal"/>
    <tableColumn id="7" name="T" dataDxfId="375" dataCellStyle="Normal"/>
    <tableColumn id="4" name="ACT KG" dataDxfId="374" dataCellStyle="Normal"/>
    <tableColumn id="8" name="KG VOLUME" dataDxfId="373" dataCellStyle="Normal"/>
    <tableColumn id="19" name="PEMBULATAN" dataDxfId="372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4" name="Table224578910112345" displayName="Table224578910112345" ref="C2:N15" totalsRowShown="0" headerRowDxfId="368" dataDxfId="366" headerRowBorderDxfId="367">
  <tableColumns count="12">
    <tableColumn id="1" name="NOMOR" dataDxfId="365" dataCellStyle="Normal"/>
    <tableColumn id="3" name="TUJUAN" dataDxfId="364" dataCellStyle="Normal"/>
    <tableColumn id="16" name="Pick Up" dataDxfId="363"/>
    <tableColumn id="14" name="KAPAL" dataDxfId="362"/>
    <tableColumn id="15" name="ETD Kapal" dataDxfId="361"/>
    <tableColumn id="10" name="KETERANGAN" dataDxfId="360" dataCellStyle="Normal"/>
    <tableColumn id="5" name="P" dataDxfId="359" dataCellStyle="Normal"/>
    <tableColumn id="6" name="L" dataDxfId="358" dataCellStyle="Normal"/>
    <tableColumn id="7" name="T" dataDxfId="357" dataCellStyle="Normal"/>
    <tableColumn id="4" name="ACT KG" dataDxfId="356" dataCellStyle="Normal"/>
    <tableColumn id="8" name="KG VOLUME" dataDxfId="355" dataCellStyle="Normal"/>
    <tableColumn id="19" name="PEMBULATAN" dataDxfId="354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5" name="Table2245789101123456" displayName="Table2245789101123456" ref="C2:N3" totalsRowShown="0" headerRowDxfId="352" dataDxfId="350" headerRowBorderDxfId="351">
  <tableColumns count="12">
    <tableColumn id="1" name="NOMOR" dataDxfId="349" dataCellStyle="Normal"/>
    <tableColumn id="3" name="TUJUAN" dataDxfId="348" dataCellStyle="Normal"/>
    <tableColumn id="16" name="Pick Up" dataDxfId="347"/>
    <tableColumn id="14" name="KAPAL" dataDxfId="346"/>
    <tableColumn id="15" name="ETD Kapal" dataDxfId="345"/>
    <tableColumn id="10" name="KETERANGAN" dataDxfId="344" dataCellStyle="Normal"/>
    <tableColumn id="5" name="P" dataDxfId="343" dataCellStyle="Normal"/>
    <tableColumn id="6" name="L" dataDxfId="342" dataCellStyle="Normal"/>
    <tableColumn id="7" name="T" dataDxfId="341" dataCellStyle="Normal"/>
    <tableColumn id="4" name="ACT KG" dataDxfId="340" dataCellStyle="Normal"/>
    <tableColumn id="8" name="KG VOLUME" dataDxfId="339" dataCellStyle="Normal"/>
    <tableColumn id="19" name="PEMBULATAN" dataDxfId="338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6" name="Table22457891011234567" displayName="Table22457891011234567" ref="C2:N6" totalsRowShown="0" headerRowDxfId="334" dataDxfId="332" headerRowBorderDxfId="333">
  <tableColumns count="12">
    <tableColumn id="1" name="NOMOR" dataDxfId="331" dataCellStyle="Normal"/>
    <tableColumn id="3" name="TUJUAN" dataDxfId="330" dataCellStyle="Normal"/>
    <tableColumn id="16" name="Pick Up" dataDxfId="329"/>
    <tableColumn id="14" name="KAPAL" dataDxfId="328"/>
    <tableColumn id="15" name="ETD Kapal" dataDxfId="327"/>
    <tableColumn id="10" name="KETERANGAN" dataDxfId="326" dataCellStyle="Normal"/>
    <tableColumn id="5" name="P" dataDxfId="325" dataCellStyle="Normal"/>
    <tableColumn id="6" name="L" dataDxfId="324" dataCellStyle="Normal"/>
    <tableColumn id="7" name="T" dataDxfId="323" dataCellStyle="Normal"/>
    <tableColumn id="4" name="ACT KG" dataDxfId="322" dataCellStyle="Normal"/>
    <tableColumn id="8" name="KG VOLUME" dataDxfId="321" dataCellStyle="Normal"/>
    <tableColumn id="19" name="PEMBULATAN" dataDxfId="320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7" name="Table224578910112345678" displayName="Table224578910112345678" ref="C2:N37" totalsRowShown="0" headerRowDxfId="316" dataDxfId="314" headerRowBorderDxfId="315">
  <tableColumns count="12">
    <tableColumn id="1" name="NOMOR" dataDxfId="313" dataCellStyle="Normal"/>
    <tableColumn id="3" name="TUJUAN" dataDxfId="312" dataCellStyle="Normal"/>
    <tableColumn id="16" name="Pick Up" dataDxfId="311"/>
    <tableColumn id="14" name="KAPAL" dataDxfId="310"/>
    <tableColumn id="15" name="ETD Kapal" dataDxfId="309"/>
    <tableColumn id="10" name="KETERANGAN" dataDxfId="308" dataCellStyle="Normal"/>
    <tableColumn id="5" name="P" dataDxfId="307" dataCellStyle="Normal"/>
    <tableColumn id="6" name="L" dataDxfId="306" dataCellStyle="Normal"/>
    <tableColumn id="7" name="T" dataDxfId="305" dataCellStyle="Normal"/>
    <tableColumn id="4" name="ACT KG" dataDxfId="304" dataCellStyle="Normal"/>
    <tableColumn id="8" name="KG VOLUME" dataDxfId="303" dataCellStyle="Normal"/>
    <tableColumn id="19" name="PEMBULATAN" dataDxfId="302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8" name="Table2245789101123456789" displayName="Table2245789101123456789" ref="C2:N5" totalsRowShown="0" headerRowDxfId="298" dataDxfId="296" headerRowBorderDxfId="297">
  <tableColumns count="12">
    <tableColumn id="1" name="NOMOR" dataDxfId="295" dataCellStyle="Normal"/>
    <tableColumn id="3" name="TUJUAN" dataDxfId="294" dataCellStyle="Normal"/>
    <tableColumn id="16" name="Pick Up" dataDxfId="293"/>
    <tableColumn id="14" name="KAPAL" dataDxfId="292"/>
    <tableColumn id="15" name="ETD Kapal" dataDxfId="291"/>
    <tableColumn id="10" name="KETERANGAN" dataDxfId="290" dataCellStyle="Normal"/>
    <tableColumn id="5" name="P" dataDxfId="289" dataCellStyle="Normal"/>
    <tableColumn id="6" name="L" dataDxfId="288" dataCellStyle="Normal"/>
    <tableColumn id="7" name="T" dataDxfId="287" dataCellStyle="Normal"/>
    <tableColumn id="4" name="ACT KG" dataDxfId="286" dataCellStyle="Normal"/>
    <tableColumn id="8" name="KG VOLUME" dataDxfId="285" dataCellStyle="Normal"/>
    <tableColumn id="19" name="PEMBULATAN" dataDxfId="284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9" name="Table224578910112345678910" displayName="Table224578910112345678910" ref="C2:N32" totalsRowShown="0" headerRowDxfId="280" dataDxfId="278" headerRowBorderDxfId="279">
  <tableColumns count="12">
    <tableColumn id="1" name="NOMOR" dataDxfId="277" dataCellStyle="Normal"/>
    <tableColumn id="3" name="TUJUAN" dataDxfId="276" dataCellStyle="Normal"/>
    <tableColumn id="16" name="Pick Up" dataDxfId="275"/>
    <tableColumn id="14" name="KAPAL" dataDxfId="274"/>
    <tableColumn id="15" name="ETD Kapal" dataDxfId="273"/>
    <tableColumn id="10" name="KETERANGAN" dataDxfId="272" dataCellStyle="Normal"/>
    <tableColumn id="5" name="P" dataDxfId="271" dataCellStyle="Normal"/>
    <tableColumn id="6" name="L" dataDxfId="270" dataCellStyle="Normal"/>
    <tableColumn id="7" name="T" dataDxfId="269" dataCellStyle="Normal"/>
    <tableColumn id="4" name="ACT KG" dataDxfId="268" dataCellStyle="Normal"/>
    <tableColumn id="8" name="KG VOLUME" dataDxfId="267" dataCellStyle="Normal"/>
    <tableColumn id="19" name="PEMBULATAN" dataDxfId="266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66"/>
  <sheetViews>
    <sheetView topLeftCell="A22" workbookViewId="0">
      <selection activeCell="J26" sqref="J26"/>
    </sheetView>
  </sheetViews>
  <sheetFormatPr defaultRowHeight="15.75" x14ac:dyDescent="0.25"/>
  <cols>
    <col min="1" max="1" width="6.42578125" style="18" customWidth="1"/>
    <col min="2" max="2" width="11.5703125" style="18" customWidth="1"/>
    <col min="3" max="3" width="10" style="18" customWidth="1"/>
    <col min="4" max="4" width="26.42578125" style="18" customWidth="1"/>
    <col min="5" max="5" width="13.85546875" style="18" customWidth="1"/>
    <col min="6" max="6" width="6.85546875" style="18" bestFit="1" customWidth="1"/>
    <col min="7" max="7" width="6.42578125" style="18" customWidth="1"/>
    <col min="8" max="8" width="14.140625" style="19" bestFit="1" customWidth="1"/>
    <col min="9" max="9" width="1.5703125" style="19" customWidth="1"/>
    <col min="10" max="10" width="20.140625" style="18" customWidth="1"/>
    <col min="11" max="11" width="9.140625" style="18"/>
    <col min="12" max="12" width="15.7109375" style="18" bestFit="1" customWidth="1"/>
    <col min="13" max="16384" width="9.140625" style="18"/>
  </cols>
  <sheetData>
    <row r="2" spans="1:10" x14ac:dyDescent="0.25">
      <c r="A2" s="17" t="s">
        <v>8</v>
      </c>
    </row>
    <row r="3" spans="1:10" x14ac:dyDescent="0.25">
      <c r="A3" s="20" t="s">
        <v>9</v>
      </c>
    </row>
    <row r="4" spans="1:10" x14ac:dyDescent="0.25">
      <c r="A4" s="20" t="s">
        <v>10</v>
      </c>
    </row>
    <row r="5" spans="1:10" x14ac:dyDescent="0.25">
      <c r="A5" s="20" t="s">
        <v>11</v>
      </c>
    </row>
    <row r="6" spans="1:10" x14ac:dyDescent="0.25">
      <c r="A6" s="20" t="s">
        <v>12</v>
      </c>
    </row>
    <row r="7" spans="1:10" x14ac:dyDescent="0.25">
      <c r="A7" s="20" t="s">
        <v>13</v>
      </c>
    </row>
    <row r="9" spans="1:10" ht="16.5" thickBot="1" x14ac:dyDescent="0.3">
      <c r="A9" s="21"/>
      <c r="B9" s="21"/>
      <c r="C9" s="21"/>
      <c r="D9" s="21"/>
      <c r="E9" s="21"/>
      <c r="F9" s="21"/>
      <c r="G9" s="21"/>
      <c r="H9" s="22"/>
      <c r="I9" s="22"/>
      <c r="J9" s="21"/>
    </row>
    <row r="10" spans="1:10" ht="23.25" customHeight="1" thickBot="1" x14ac:dyDescent="0.3">
      <c r="A10" s="105" t="s">
        <v>14</v>
      </c>
      <c r="B10" s="106"/>
      <c r="C10" s="106"/>
      <c r="D10" s="106"/>
      <c r="E10" s="106"/>
      <c r="F10" s="106"/>
      <c r="G10" s="106"/>
      <c r="H10" s="106"/>
      <c r="I10" s="106"/>
      <c r="J10" s="107"/>
    </row>
    <row r="12" spans="1:10" x14ac:dyDescent="0.25">
      <c r="A12" s="18" t="s">
        <v>15</v>
      </c>
      <c r="B12" s="18" t="s">
        <v>16</v>
      </c>
      <c r="G12" s="116" t="s">
        <v>49</v>
      </c>
      <c r="H12" s="116"/>
      <c r="I12" s="23" t="s">
        <v>17</v>
      </c>
      <c r="J12" s="24" t="s">
        <v>518</v>
      </c>
    </row>
    <row r="13" spans="1:10" x14ac:dyDescent="0.25">
      <c r="G13" s="116" t="s">
        <v>18</v>
      </c>
      <c r="H13" s="116"/>
      <c r="I13" s="23" t="s">
        <v>17</v>
      </c>
      <c r="J13" s="25" t="s">
        <v>519</v>
      </c>
    </row>
    <row r="14" spans="1:10" x14ac:dyDescent="0.25">
      <c r="G14" s="116" t="s">
        <v>51</v>
      </c>
      <c r="H14" s="116"/>
      <c r="I14" s="23" t="s">
        <v>17</v>
      </c>
      <c r="J14" s="18" t="s">
        <v>50</v>
      </c>
    </row>
    <row r="15" spans="1:10" x14ac:dyDescent="0.25">
      <c r="A15" s="18" t="s">
        <v>19</v>
      </c>
      <c r="B15" s="24" t="s">
        <v>20</v>
      </c>
      <c r="C15" s="24"/>
      <c r="I15" s="23"/>
      <c r="J15" s="18" t="s">
        <v>520</v>
      </c>
    </row>
    <row r="16" spans="1:10" ht="16.5" thickBot="1" x14ac:dyDescent="0.3"/>
    <row r="17" spans="1:12" ht="26.25" customHeight="1" x14ac:dyDescent="0.25">
      <c r="A17" s="26" t="s">
        <v>21</v>
      </c>
      <c r="B17" s="27" t="s">
        <v>22</v>
      </c>
      <c r="C17" s="27" t="s">
        <v>23</v>
      </c>
      <c r="D17" s="27" t="s">
        <v>24</v>
      </c>
      <c r="E17" s="27" t="s">
        <v>25</v>
      </c>
      <c r="F17" s="28" t="s">
        <v>26</v>
      </c>
      <c r="G17" s="28" t="s">
        <v>27</v>
      </c>
      <c r="H17" s="108" t="s">
        <v>28</v>
      </c>
      <c r="I17" s="109"/>
      <c r="J17" s="29" t="s">
        <v>29</v>
      </c>
    </row>
    <row r="18" spans="1:12" ht="48" customHeight="1" x14ac:dyDescent="0.25">
      <c r="A18" s="30">
        <v>1</v>
      </c>
      <c r="B18" s="31">
        <f>'404033'!E3</f>
        <v>44521</v>
      </c>
      <c r="C18" s="84">
        <f>'404033'!A3</f>
        <v>404033</v>
      </c>
      <c r="D18" s="32" t="s">
        <v>517</v>
      </c>
      <c r="E18" s="32" t="s">
        <v>60</v>
      </c>
      <c r="F18" s="33">
        <v>2</v>
      </c>
      <c r="G18" s="100">
        <f>'404033'!N5</f>
        <v>59.03</v>
      </c>
      <c r="H18" s="103">
        <v>7000</v>
      </c>
      <c r="I18" s="104"/>
      <c r="J18" s="34">
        <f>G18*H18</f>
        <v>413210</v>
      </c>
      <c r="L18"/>
    </row>
    <row r="19" spans="1:12" ht="48" customHeight="1" x14ac:dyDescent="0.25">
      <c r="A19" s="30">
        <f>A18+1</f>
        <v>2</v>
      </c>
      <c r="B19" s="31">
        <f>'403897'!E3</f>
        <v>44521</v>
      </c>
      <c r="C19" s="84">
        <f>'403897'!A3</f>
        <v>403897</v>
      </c>
      <c r="D19" s="32" t="s">
        <v>517</v>
      </c>
      <c r="E19" s="32" t="s">
        <v>60</v>
      </c>
      <c r="F19" s="33">
        <v>42</v>
      </c>
      <c r="G19" s="101">
        <f>'403897'!N45</f>
        <v>674.12824999999998</v>
      </c>
      <c r="H19" s="103">
        <v>7000</v>
      </c>
      <c r="I19" s="104"/>
      <c r="J19" s="34">
        <f t="shared" ref="J19:J41" si="0">G19*H19</f>
        <v>4718897.75</v>
      </c>
      <c r="L19"/>
    </row>
    <row r="20" spans="1:12" ht="48" customHeight="1" x14ac:dyDescent="0.25">
      <c r="A20" s="30">
        <f t="shared" ref="A20:A41" si="1">A19+1</f>
        <v>3</v>
      </c>
      <c r="B20" s="31">
        <f>'403220'!E3</f>
        <v>44522</v>
      </c>
      <c r="C20" s="84">
        <f>'403220'!A3</f>
        <v>403220</v>
      </c>
      <c r="D20" s="32" t="s">
        <v>517</v>
      </c>
      <c r="E20" s="32" t="s">
        <v>60</v>
      </c>
      <c r="F20" s="33">
        <v>2</v>
      </c>
      <c r="G20" s="101">
        <f>'403220'!N5</f>
        <v>51.5</v>
      </c>
      <c r="H20" s="103">
        <v>7000</v>
      </c>
      <c r="I20" s="104"/>
      <c r="J20" s="34">
        <f t="shared" si="0"/>
        <v>360500</v>
      </c>
      <c r="L20"/>
    </row>
    <row r="21" spans="1:12" ht="48" customHeight="1" x14ac:dyDescent="0.25">
      <c r="A21" s="30">
        <f t="shared" si="1"/>
        <v>4</v>
      </c>
      <c r="B21" s="31">
        <f>'406077'!E3</f>
        <v>44522</v>
      </c>
      <c r="C21" s="84">
        <f>'406077'!A3</f>
        <v>406077</v>
      </c>
      <c r="D21" s="32" t="s">
        <v>517</v>
      </c>
      <c r="E21" s="32" t="s">
        <v>60</v>
      </c>
      <c r="F21" s="33">
        <v>13</v>
      </c>
      <c r="G21" s="101">
        <f>'406077'!N16</f>
        <v>178.08950000000002</v>
      </c>
      <c r="H21" s="103">
        <v>7000</v>
      </c>
      <c r="I21" s="104"/>
      <c r="J21" s="34">
        <f t="shared" si="0"/>
        <v>1246626.5</v>
      </c>
      <c r="L21"/>
    </row>
    <row r="22" spans="1:12" ht="48" customHeight="1" x14ac:dyDescent="0.25">
      <c r="A22" s="30">
        <f t="shared" si="1"/>
        <v>5</v>
      </c>
      <c r="B22" s="31">
        <f>'403222'!E3</f>
        <v>44523</v>
      </c>
      <c r="C22" s="84">
        <f>'403222'!A3</f>
        <v>403222</v>
      </c>
      <c r="D22" s="32" t="s">
        <v>517</v>
      </c>
      <c r="E22" s="32" t="s">
        <v>60</v>
      </c>
      <c r="F22" s="33">
        <v>1</v>
      </c>
      <c r="G22" s="101">
        <f>'403222'!N4</f>
        <v>18</v>
      </c>
      <c r="H22" s="103">
        <v>7000</v>
      </c>
      <c r="I22" s="104"/>
      <c r="J22" s="34">
        <f t="shared" si="0"/>
        <v>126000</v>
      </c>
      <c r="L22"/>
    </row>
    <row r="23" spans="1:12" ht="48" customHeight="1" x14ac:dyDescent="0.25">
      <c r="A23" s="30">
        <f t="shared" si="1"/>
        <v>6</v>
      </c>
      <c r="B23" s="31">
        <f>'403224'!E3</f>
        <v>44523</v>
      </c>
      <c r="C23" s="84">
        <f>'403224'!A3</f>
        <v>403224</v>
      </c>
      <c r="D23" s="32" t="s">
        <v>517</v>
      </c>
      <c r="E23" s="32" t="s">
        <v>60</v>
      </c>
      <c r="F23" s="33">
        <v>4</v>
      </c>
      <c r="G23" s="101">
        <f>'403224'!N7</f>
        <v>64.99199999999999</v>
      </c>
      <c r="H23" s="103">
        <v>7000</v>
      </c>
      <c r="I23" s="104"/>
      <c r="J23" s="34">
        <f t="shared" si="0"/>
        <v>454943.99999999994</v>
      </c>
      <c r="L23"/>
    </row>
    <row r="24" spans="1:12" ht="48" customHeight="1" x14ac:dyDescent="0.25">
      <c r="A24" s="30">
        <f t="shared" si="1"/>
        <v>7</v>
      </c>
      <c r="B24" s="31">
        <f>'403098'!E3</f>
        <v>44523</v>
      </c>
      <c r="C24" s="84">
        <f>'403098'!A3</f>
        <v>403098</v>
      </c>
      <c r="D24" s="32" t="s">
        <v>517</v>
      </c>
      <c r="E24" s="32" t="s">
        <v>60</v>
      </c>
      <c r="F24" s="33">
        <v>35</v>
      </c>
      <c r="G24" s="101">
        <f>'403098'!N38</f>
        <v>647.43225000000007</v>
      </c>
      <c r="H24" s="103">
        <v>7000</v>
      </c>
      <c r="I24" s="104"/>
      <c r="J24" s="34">
        <f t="shared" si="0"/>
        <v>4532025.7500000009</v>
      </c>
      <c r="L24"/>
    </row>
    <row r="25" spans="1:12" ht="48" customHeight="1" x14ac:dyDescent="0.25">
      <c r="A25" s="30">
        <f t="shared" si="1"/>
        <v>8</v>
      </c>
      <c r="B25" s="31">
        <f>'403226'!E3</f>
        <v>44524</v>
      </c>
      <c r="C25" s="84">
        <f>'403226'!A3</f>
        <v>403226</v>
      </c>
      <c r="D25" s="32" t="s">
        <v>517</v>
      </c>
      <c r="E25" s="32" t="s">
        <v>60</v>
      </c>
      <c r="F25" s="33">
        <v>3</v>
      </c>
      <c r="G25" s="101">
        <f>'403226'!N6</f>
        <v>38.823749999999997</v>
      </c>
      <c r="H25" s="103">
        <v>7000</v>
      </c>
      <c r="I25" s="104"/>
      <c r="J25" s="34">
        <f t="shared" si="0"/>
        <v>271766.25</v>
      </c>
      <c r="L25"/>
    </row>
    <row r="26" spans="1:12" ht="48" customHeight="1" x14ac:dyDescent="0.25">
      <c r="A26" s="30">
        <f t="shared" si="1"/>
        <v>9</v>
      </c>
      <c r="B26" s="31">
        <f>'403704'!E3</f>
        <v>44524</v>
      </c>
      <c r="C26" s="84">
        <f>'403224'!A3</f>
        <v>403224</v>
      </c>
      <c r="D26" s="32" t="s">
        <v>517</v>
      </c>
      <c r="E26" s="32" t="s">
        <v>60</v>
      </c>
      <c r="F26" s="33">
        <v>30</v>
      </c>
      <c r="G26" s="101">
        <f>'403704'!N33</f>
        <v>692.74775</v>
      </c>
      <c r="H26" s="103">
        <v>7000</v>
      </c>
      <c r="I26" s="104"/>
      <c r="J26" s="34">
        <f t="shared" si="0"/>
        <v>4849234.25</v>
      </c>
      <c r="L26"/>
    </row>
    <row r="27" spans="1:12" ht="48" customHeight="1" x14ac:dyDescent="0.25">
      <c r="A27" s="30">
        <f t="shared" si="1"/>
        <v>10</v>
      </c>
      <c r="B27" s="31">
        <f>'404036'!E3</f>
        <v>44525</v>
      </c>
      <c r="C27" s="84">
        <f>'404036'!A3</f>
        <v>404036</v>
      </c>
      <c r="D27" s="32" t="s">
        <v>517</v>
      </c>
      <c r="E27" s="32" t="s">
        <v>60</v>
      </c>
      <c r="F27" s="33">
        <v>6</v>
      </c>
      <c r="G27" s="101">
        <f>'404036'!N9</f>
        <v>180.55249999999998</v>
      </c>
      <c r="H27" s="103">
        <v>7000</v>
      </c>
      <c r="I27" s="104"/>
      <c r="J27" s="34">
        <f t="shared" si="0"/>
        <v>1263867.4999999998</v>
      </c>
      <c r="L27"/>
    </row>
    <row r="28" spans="1:12" ht="48" customHeight="1" x14ac:dyDescent="0.25">
      <c r="A28" s="30">
        <f t="shared" si="1"/>
        <v>11</v>
      </c>
      <c r="B28" s="31">
        <f>'403707'!E3</f>
        <v>44525</v>
      </c>
      <c r="C28" s="84">
        <f>'403707'!A3</f>
        <v>403707</v>
      </c>
      <c r="D28" s="32" t="s">
        <v>517</v>
      </c>
      <c r="E28" s="32" t="s">
        <v>60</v>
      </c>
      <c r="F28" s="33">
        <v>50</v>
      </c>
      <c r="G28" s="101">
        <f>'403707'!N53</f>
        <v>699.99649999999997</v>
      </c>
      <c r="H28" s="103">
        <v>7000</v>
      </c>
      <c r="I28" s="104"/>
      <c r="J28" s="34">
        <f t="shared" si="0"/>
        <v>4899975.5</v>
      </c>
      <c r="L28"/>
    </row>
    <row r="29" spans="1:12" ht="48" customHeight="1" x14ac:dyDescent="0.25">
      <c r="A29" s="30">
        <f t="shared" si="1"/>
        <v>12</v>
      </c>
      <c r="B29" s="31">
        <f>'404040'!E3</f>
        <v>44526</v>
      </c>
      <c r="C29" s="84">
        <f>'404040'!A3</f>
        <v>404040</v>
      </c>
      <c r="D29" s="32" t="s">
        <v>517</v>
      </c>
      <c r="E29" s="32" t="s">
        <v>60</v>
      </c>
      <c r="F29" s="33">
        <v>3</v>
      </c>
      <c r="G29" s="101">
        <f>'404040'!N6</f>
        <v>27.464999999999996</v>
      </c>
      <c r="H29" s="103">
        <v>7000</v>
      </c>
      <c r="I29" s="104"/>
      <c r="J29" s="34">
        <f t="shared" si="0"/>
        <v>192254.99999999997</v>
      </c>
      <c r="L29"/>
    </row>
    <row r="30" spans="1:12" ht="48" customHeight="1" x14ac:dyDescent="0.25">
      <c r="A30" s="30">
        <f t="shared" si="1"/>
        <v>13</v>
      </c>
      <c r="B30" s="31">
        <f>'403710'!E3</f>
        <v>44526</v>
      </c>
      <c r="C30" s="84">
        <f>'403710'!A3</f>
        <v>403710</v>
      </c>
      <c r="D30" s="32" t="s">
        <v>517</v>
      </c>
      <c r="E30" s="32" t="s">
        <v>60</v>
      </c>
      <c r="F30" s="33">
        <v>31</v>
      </c>
      <c r="G30" s="101">
        <f>'403710'!N34</f>
        <v>600.78324999999995</v>
      </c>
      <c r="H30" s="103">
        <v>7000</v>
      </c>
      <c r="I30" s="104"/>
      <c r="J30" s="34">
        <f t="shared" si="0"/>
        <v>4205482.75</v>
      </c>
      <c r="L30"/>
    </row>
    <row r="31" spans="1:12" ht="48" customHeight="1" x14ac:dyDescent="0.25">
      <c r="A31" s="30">
        <f t="shared" si="1"/>
        <v>14</v>
      </c>
      <c r="B31" s="31">
        <f>'403712'!E3</f>
        <v>44526</v>
      </c>
      <c r="C31" s="84">
        <f>'403712'!A3</f>
        <v>403712</v>
      </c>
      <c r="D31" s="32" t="s">
        <v>517</v>
      </c>
      <c r="E31" s="32" t="s">
        <v>60</v>
      </c>
      <c r="F31" s="33">
        <v>12</v>
      </c>
      <c r="G31" s="101">
        <f>'403712'!N15</f>
        <v>184.02499999999998</v>
      </c>
      <c r="H31" s="103">
        <v>7000</v>
      </c>
      <c r="I31" s="104"/>
      <c r="J31" s="34">
        <f t="shared" si="0"/>
        <v>1288174.9999999998</v>
      </c>
      <c r="L31"/>
    </row>
    <row r="32" spans="1:12" ht="48" customHeight="1" x14ac:dyDescent="0.25">
      <c r="A32" s="30">
        <f t="shared" si="1"/>
        <v>15</v>
      </c>
      <c r="B32" s="31">
        <f>'404042'!E3</f>
        <v>44527</v>
      </c>
      <c r="C32" s="84">
        <f>'404042'!A3</f>
        <v>404042</v>
      </c>
      <c r="D32" s="32" t="s">
        <v>517</v>
      </c>
      <c r="E32" s="32" t="s">
        <v>60</v>
      </c>
      <c r="F32" s="33">
        <v>2</v>
      </c>
      <c r="G32" s="101">
        <f>'404042'!N5</f>
        <v>26.966999999999999</v>
      </c>
      <c r="H32" s="103">
        <v>7000</v>
      </c>
      <c r="I32" s="104"/>
      <c r="J32" s="34">
        <f t="shared" si="0"/>
        <v>188769</v>
      </c>
      <c r="L32"/>
    </row>
    <row r="33" spans="1:12" ht="48" customHeight="1" x14ac:dyDescent="0.25">
      <c r="A33" s="30">
        <f t="shared" si="1"/>
        <v>16</v>
      </c>
      <c r="B33" s="31">
        <f>'403720'!E3</f>
        <v>44527</v>
      </c>
      <c r="C33" s="84">
        <f>'403720'!A3</f>
        <v>403720</v>
      </c>
      <c r="D33" s="32" t="s">
        <v>517</v>
      </c>
      <c r="E33" s="32" t="s">
        <v>60</v>
      </c>
      <c r="F33" s="33">
        <v>68</v>
      </c>
      <c r="G33" s="101">
        <f>'403720'!N71</f>
        <v>872.15275000000008</v>
      </c>
      <c r="H33" s="103">
        <v>7000</v>
      </c>
      <c r="I33" s="104"/>
      <c r="J33" s="34">
        <f t="shared" si="0"/>
        <v>6105069.2500000009</v>
      </c>
      <c r="L33"/>
    </row>
    <row r="34" spans="1:12" ht="48" customHeight="1" x14ac:dyDescent="0.25">
      <c r="A34" s="30">
        <f t="shared" si="1"/>
        <v>17</v>
      </c>
      <c r="B34" s="31">
        <f>'404046'!E3</f>
        <v>44528</v>
      </c>
      <c r="C34" s="84">
        <f>'404046'!A3</f>
        <v>404046</v>
      </c>
      <c r="D34" s="32" t="s">
        <v>517</v>
      </c>
      <c r="E34" s="32" t="s">
        <v>60</v>
      </c>
      <c r="F34" s="33">
        <v>3</v>
      </c>
      <c r="G34" s="101">
        <f>'404046'!N6</f>
        <v>57.1</v>
      </c>
      <c r="H34" s="103">
        <v>7000</v>
      </c>
      <c r="I34" s="104"/>
      <c r="J34" s="34">
        <f t="shared" si="0"/>
        <v>399700</v>
      </c>
      <c r="L34"/>
    </row>
    <row r="35" spans="1:12" ht="48" customHeight="1" x14ac:dyDescent="0.25">
      <c r="A35" s="30">
        <f t="shared" si="1"/>
        <v>18</v>
      </c>
      <c r="B35" s="31">
        <f>'404044'!E3</f>
        <v>44528</v>
      </c>
      <c r="C35" s="84">
        <f>'404044'!A3</f>
        <v>404044</v>
      </c>
      <c r="D35" s="32" t="s">
        <v>517</v>
      </c>
      <c r="E35" s="32" t="s">
        <v>60</v>
      </c>
      <c r="F35" s="33">
        <v>4</v>
      </c>
      <c r="G35" s="101">
        <f>'404044'!N7</f>
        <v>95.74799999999999</v>
      </c>
      <c r="H35" s="103">
        <v>7000</v>
      </c>
      <c r="I35" s="104"/>
      <c r="J35" s="34">
        <f t="shared" si="0"/>
        <v>670235.99999999988</v>
      </c>
      <c r="L35"/>
    </row>
    <row r="36" spans="1:12" ht="48" customHeight="1" x14ac:dyDescent="0.25">
      <c r="A36" s="30">
        <f t="shared" si="1"/>
        <v>19</v>
      </c>
      <c r="B36" s="31">
        <f>'403725'!E3</f>
        <v>44528</v>
      </c>
      <c r="C36" s="84">
        <f>'403725'!A3</f>
        <v>403725</v>
      </c>
      <c r="D36" s="32" t="s">
        <v>517</v>
      </c>
      <c r="E36" s="32" t="s">
        <v>60</v>
      </c>
      <c r="F36" s="33">
        <v>28</v>
      </c>
      <c r="G36" s="101">
        <f>'403725'!N31</f>
        <v>644.18025</v>
      </c>
      <c r="H36" s="103">
        <v>7000</v>
      </c>
      <c r="I36" s="104"/>
      <c r="J36" s="34">
        <f t="shared" si="0"/>
        <v>4509261.75</v>
      </c>
      <c r="L36"/>
    </row>
    <row r="37" spans="1:12" ht="48" customHeight="1" x14ac:dyDescent="0.25">
      <c r="A37" s="30">
        <f t="shared" si="1"/>
        <v>20</v>
      </c>
      <c r="B37" s="31">
        <f>'403727'!E3</f>
        <v>44528</v>
      </c>
      <c r="C37" s="84">
        <f>'403727'!A3</f>
        <v>403727</v>
      </c>
      <c r="D37" s="32" t="s">
        <v>517</v>
      </c>
      <c r="E37" s="32" t="s">
        <v>60</v>
      </c>
      <c r="F37" s="33">
        <v>11</v>
      </c>
      <c r="G37" s="101">
        <f>'403727'!N14</f>
        <v>104</v>
      </c>
      <c r="H37" s="103">
        <v>7000</v>
      </c>
      <c r="I37" s="104"/>
      <c r="J37" s="34">
        <f t="shared" si="0"/>
        <v>728000</v>
      </c>
      <c r="L37"/>
    </row>
    <row r="38" spans="1:12" ht="48" customHeight="1" x14ac:dyDescent="0.25">
      <c r="A38" s="30">
        <f t="shared" si="1"/>
        <v>21</v>
      </c>
      <c r="B38" s="31">
        <f>'406158'!E3</f>
        <v>44529</v>
      </c>
      <c r="C38" s="84">
        <f>'406158'!A3</f>
        <v>406158</v>
      </c>
      <c r="D38" s="32" t="s">
        <v>517</v>
      </c>
      <c r="E38" s="32" t="s">
        <v>60</v>
      </c>
      <c r="F38" s="33">
        <v>2</v>
      </c>
      <c r="G38" s="101">
        <f>'406158'!N5</f>
        <v>15.717500000000001</v>
      </c>
      <c r="H38" s="103">
        <v>7000</v>
      </c>
      <c r="I38" s="104"/>
      <c r="J38" s="34">
        <f t="shared" si="0"/>
        <v>110022.50000000001</v>
      </c>
      <c r="L38"/>
    </row>
    <row r="39" spans="1:12" ht="48" customHeight="1" x14ac:dyDescent="0.25">
      <c r="A39" s="30">
        <f t="shared" si="1"/>
        <v>22</v>
      </c>
      <c r="B39" s="31">
        <f>'403735'!E3</f>
        <v>44529</v>
      </c>
      <c r="C39" s="84">
        <f>'403735'!A3</f>
        <v>403735</v>
      </c>
      <c r="D39" s="32" t="s">
        <v>517</v>
      </c>
      <c r="E39" s="32" t="s">
        <v>60</v>
      </c>
      <c r="F39" s="33">
        <v>13</v>
      </c>
      <c r="G39" s="101">
        <f>'403735'!N16</f>
        <v>262.642</v>
      </c>
      <c r="H39" s="103">
        <v>7000</v>
      </c>
      <c r="I39" s="104"/>
      <c r="J39" s="34">
        <f t="shared" si="0"/>
        <v>1838494</v>
      </c>
      <c r="L39"/>
    </row>
    <row r="40" spans="1:12" ht="48" customHeight="1" x14ac:dyDescent="0.25">
      <c r="A40" s="30">
        <f t="shared" si="1"/>
        <v>23</v>
      </c>
      <c r="B40" s="31">
        <f>'403953'!E3</f>
        <v>44530</v>
      </c>
      <c r="C40" s="84">
        <f>'403953'!A3</f>
        <v>403953</v>
      </c>
      <c r="D40" s="32" t="s">
        <v>517</v>
      </c>
      <c r="E40" s="32" t="s">
        <v>60</v>
      </c>
      <c r="F40" s="33">
        <v>5</v>
      </c>
      <c r="G40" s="101">
        <f>'403953'!N8</f>
        <v>73.097500000000011</v>
      </c>
      <c r="H40" s="103">
        <v>7000</v>
      </c>
      <c r="I40" s="104"/>
      <c r="J40" s="34">
        <f t="shared" si="0"/>
        <v>511682.50000000006</v>
      </c>
      <c r="L40"/>
    </row>
    <row r="41" spans="1:12" ht="48" customHeight="1" x14ac:dyDescent="0.25">
      <c r="A41" s="30">
        <f t="shared" si="1"/>
        <v>24</v>
      </c>
      <c r="B41" s="31">
        <f>'403736'!E3</f>
        <v>44530</v>
      </c>
      <c r="C41" s="84">
        <f>'403736'!A3</f>
        <v>403736</v>
      </c>
      <c r="D41" s="32" t="s">
        <v>517</v>
      </c>
      <c r="E41" s="32" t="s">
        <v>60</v>
      </c>
      <c r="F41" s="33">
        <v>41</v>
      </c>
      <c r="G41" s="101">
        <f>'403736'!N44</f>
        <v>705.96799999999996</v>
      </c>
      <c r="H41" s="103">
        <v>7000</v>
      </c>
      <c r="I41" s="104"/>
      <c r="J41" s="34">
        <f t="shared" si="0"/>
        <v>4941776</v>
      </c>
      <c r="L41"/>
    </row>
    <row r="42" spans="1:12" ht="32.25" customHeight="1" thickBot="1" x14ac:dyDescent="0.3">
      <c r="A42" s="110" t="s">
        <v>30</v>
      </c>
      <c r="B42" s="111"/>
      <c r="C42" s="111"/>
      <c r="D42" s="111"/>
      <c r="E42" s="111"/>
      <c r="F42" s="111"/>
      <c r="G42" s="111"/>
      <c r="H42" s="111"/>
      <c r="I42" s="112"/>
      <c r="J42" s="35">
        <f>SUM(J18:J41)</f>
        <v>48825971.25</v>
      </c>
      <c r="L42" s="82">
        <f>'404033'!P10+'403897'!P50+'403220'!P10+'406077'!P21+'403222'!P9+'403224'!P12+'403098'!P43+'403226'!P11+'403704'!P38+'404036'!P14+'403707'!P58+'404040'!P11+'403710'!P39+'403712'!P20+'404042'!P10+'403720'!P76+'404046'!P11+'404044'!P12+'403725'!P36+'403727'!P19+'406158'!P10+'403735'!P21+'403953'!P13+'403736'!P49</f>
        <v>48337711.537500001</v>
      </c>
    </row>
    <row r="43" spans="1:12" x14ac:dyDescent="0.25">
      <c r="A43" s="102"/>
      <c r="B43" s="102"/>
      <c r="C43" s="36"/>
      <c r="D43" s="36"/>
      <c r="E43" s="36"/>
      <c r="F43" s="36"/>
      <c r="G43" s="36"/>
      <c r="H43" s="37"/>
      <c r="I43" s="37"/>
      <c r="J43" s="38"/>
    </row>
    <row r="44" spans="1:12" x14ac:dyDescent="0.25">
      <c r="A44" s="85"/>
      <c r="B44" s="85"/>
      <c r="C44" s="85"/>
      <c r="D44" s="85"/>
      <c r="E44" s="85"/>
      <c r="F44" s="85"/>
      <c r="G44" s="39" t="s">
        <v>52</v>
      </c>
      <c r="H44" s="39"/>
      <c r="I44" s="37"/>
      <c r="J44" s="38">
        <v>0</v>
      </c>
      <c r="L44" s="40"/>
    </row>
    <row r="45" spans="1:12" x14ac:dyDescent="0.25">
      <c r="A45" s="85"/>
      <c r="B45" s="85"/>
      <c r="C45" s="85"/>
      <c r="D45" s="85"/>
      <c r="E45" s="85"/>
      <c r="F45" s="85"/>
      <c r="G45" s="92" t="s">
        <v>53</v>
      </c>
      <c r="H45" s="92"/>
      <c r="I45" s="93"/>
      <c r="J45" s="95">
        <f>J42-J44</f>
        <v>48825971.25</v>
      </c>
      <c r="L45" s="40"/>
    </row>
    <row r="46" spans="1:12" x14ac:dyDescent="0.25">
      <c r="A46" s="85"/>
      <c r="B46" s="85"/>
      <c r="C46" s="85"/>
      <c r="D46" s="85"/>
      <c r="E46" s="85"/>
      <c r="F46" s="85"/>
      <c r="G46" s="39" t="s">
        <v>31</v>
      </c>
      <c r="H46" s="39"/>
      <c r="I46" s="40" t="e">
        <f>#REF!*1%</f>
        <v>#REF!</v>
      </c>
      <c r="J46" s="38">
        <f>J45*1%</f>
        <v>488259.71250000002</v>
      </c>
    </row>
    <row r="47" spans="1:12" ht="16.5" thickBot="1" x14ac:dyDescent="0.3">
      <c r="A47" s="85"/>
      <c r="B47" s="85"/>
      <c r="C47" s="85"/>
      <c r="D47" s="85"/>
      <c r="E47" s="85"/>
      <c r="F47" s="85"/>
      <c r="G47" s="94" t="s">
        <v>55</v>
      </c>
      <c r="H47" s="94"/>
      <c r="I47" s="41">
        <f>I43*10%</f>
        <v>0</v>
      </c>
      <c r="J47" s="41">
        <f>J45*2%</f>
        <v>976519.42500000005</v>
      </c>
    </row>
    <row r="48" spans="1:12" x14ac:dyDescent="0.25">
      <c r="E48" s="17"/>
      <c r="F48" s="17"/>
      <c r="G48" s="42" t="s">
        <v>56</v>
      </c>
      <c r="H48" s="42"/>
      <c r="I48" s="43" t="e">
        <f>I42+I46</f>
        <v>#REF!</v>
      </c>
      <c r="J48" s="43">
        <f>J45+J46-J47</f>
        <v>48337711.537500001</v>
      </c>
    </row>
    <row r="49" spans="1:10" x14ac:dyDescent="0.25">
      <c r="E49" s="17"/>
      <c r="F49" s="17"/>
      <c r="G49" s="42"/>
      <c r="H49" s="42"/>
      <c r="I49" s="43"/>
      <c r="J49" s="43"/>
    </row>
    <row r="50" spans="1:10" x14ac:dyDescent="0.25">
      <c r="A50" s="17" t="s">
        <v>522</v>
      </c>
      <c r="D50" s="17"/>
      <c r="E50" s="17"/>
      <c r="F50" s="17"/>
      <c r="G50" s="17"/>
      <c r="H50" s="42"/>
      <c r="I50" s="42"/>
      <c r="J50" s="43"/>
    </row>
    <row r="51" spans="1:10" x14ac:dyDescent="0.25">
      <c r="A51" s="44"/>
      <c r="D51" s="17"/>
      <c r="E51" s="17"/>
      <c r="F51" s="17"/>
      <c r="G51" s="17"/>
      <c r="H51" s="42"/>
      <c r="I51" s="42"/>
      <c r="J51" s="43"/>
    </row>
    <row r="52" spans="1:10" x14ac:dyDescent="0.25">
      <c r="D52" s="17"/>
      <c r="E52" s="17"/>
      <c r="F52" s="17"/>
      <c r="G52" s="17"/>
      <c r="H52" s="42"/>
      <c r="I52" s="42"/>
      <c r="J52" s="43"/>
    </row>
    <row r="53" spans="1:10" x14ac:dyDescent="0.25">
      <c r="A53" s="45" t="s">
        <v>33</v>
      </c>
    </row>
    <row r="54" spans="1:10" x14ac:dyDescent="0.25">
      <c r="A54" s="46" t="s">
        <v>34</v>
      </c>
      <c r="B54" s="47"/>
      <c r="C54" s="47"/>
      <c r="D54" s="48"/>
      <c r="E54" s="48"/>
      <c r="F54" s="48"/>
      <c r="G54" s="48"/>
    </row>
    <row r="55" spans="1:10" x14ac:dyDescent="0.25">
      <c r="A55" s="46" t="s">
        <v>35</v>
      </c>
      <c r="B55" s="47"/>
      <c r="C55" s="47"/>
      <c r="D55" s="48"/>
      <c r="E55" s="48"/>
      <c r="F55" s="48"/>
      <c r="G55" s="48"/>
    </row>
    <row r="56" spans="1:10" x14ac:dyDescent="0.25">
      <c r="A56" s="49" t="s">
        <v>36</v>
      </c>
      <c r="B56" s="50"/>
      <c r="C56" s="50"/>
      <c r="D56" s="48"/>
      <c r="E56" s="48"/>
      <c r="F56" s="48"/>
      <c r="G56" s="48"/>
    </row>
    <row r="57" spans="1:10" x14ac:dyDescent="0.25">
      <c r="A57" s="51" t="s">
        <v>8</v>
      </c>
      <c r="B57" s="52"/>
      <c r="C57" s="52"/>
      <c r="D57" s="48"/>
      <c r="E57" s="48"/>
      <c r="F57" s="48"/>
      <c r="G57" s="48"/>
    </row>
    <row r="58" spans="1:10" x14ac:dyDescent="0.25">
      <c r="A58" s="53"/>
      <c r="B58" s="53"/>
      <c r="C58" s="53"/>
    </row>
    <row r="59" spans="1:10" x14ac:dyDescent="0.25">
      <c r="H59" s="54" t="s">
        <v>37</v>
      </c>
      <c r="I59" s="113" t="str">
        <f>+J13</f>
        <v xml:space="preserve"> 08 Desember 21</v>
      </c>
      <c r="J59" s="114"/>
    </row>
    <row r="63" spans="1:10" ht="18" customHeight="1" x14ac:dyDescent="0.25"/>
    <row r="64" spans="1:10" ht="17.25" customHeight="1" x14ac:dyDescent="0.25"/>
    <row r="66" spans="8:10" x14ac:dyDescent="0.25">
      <c r="H66" s="115" t="s">
        <v>38</v>
      </c>
      <c r="I66" s="115"/>
      <c r="J66" s="115"/>
    </row>
  </sheetData>
  <mergeCells count="33">
    <mergeCell ref="H66:J66"/>
    <mergeCell ref="G14:H14"/>
    <mergeCell ref="G13:H13"/>
    <mergeCell ref="G12:H12"/>
    <mergeCell ref="H26:I26"/>
    <mergeCell ref="H27:I27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  <mergeCell ref="A10:J10"/>
    <mergeCell ref="H17:I17"/>
    <mergeCell ref="H18:I18"/>
    <mergeCell ref="A42:I42"/>
    <mergeCell ref="I59:J59"/>
    <mergeCell ref="A43:B43"/>
    <mergeCell ref="H19:I19"/>
    <mergeCell ref="H20:I20"/>
    <mergeCell ref="H24:I24"/>
    <mergeCell ref="H22:I22"/>
    <mergeCell ref="H21:I21"/>
    <mergeCell ref="H25:I25"/>
    <mergeCell ref="H28:I28"/>
    <mergeCell ref="H23:I23"/>
    <mergeCell ref="H38:I38"/>
    <mergeCell ref="H40:I40"/>
    <mergeCell ref="H41:I41"/>
    <mergeCell ref="H39:I39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3"/>
  <sheetViews>
    <sheetView zoomScale="110" zoomScaleNormal="110" workbookViewId="0">
      <pane xSplit="3" ySplit="2" topLeftCell="D25" activePane="bottomRight" state="frozen"/>
      <selection pane="topRight" activeCell="B1" sqref="B1"/>
      <selection pane="bottomLeft" activeCell="A3" sqref="A3"/>
      <selection pane="bottomRight" activeCell="O34" sqref="O3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403704</v>
      </c>
      <c r="B3" s="74" t="s">
        <v>175</v>
      </c>
      <c r="C3" s="9" t="s">
        <v>176</v>
      </c>
      <c r="D3" s="76" t="s">
        <v>60</v>
      </c>
      <c r="E3" s="13">
        <v>44524</v>
      </c>
      <c r="F3" s="76" t="s">
        <v>61</v>
      </c>
      <c r="G3" s="13">
        <v>44528</v>
      </c>
      <c r="H3" s="10" t="s">
        <v>62</v>
      </c>
      <c r="I3" s="1">
        <v>37</v>
      </c>
      <c r="J3" s="1">
        <v>30</v>
      </c>
      <c r="K3" s="1">
        <v>15</v>
      </c>
      <c r="L3" s="1">
        <v>5</v>
      </c>
      <c r="M3" s="80">
        <v>4.1624999999999996</v>
      </c>
      <c r="N3" s="8">
        <v>5</v>
      </c>
      <c r="O3" s="64">
        <v>7000</v>
      </c>
      <c r="P3" s="65">
        <f>Table224578910112345678910[[#This Row],[PEMBULATAN]]*O3</f>
        <v>35000</v>
      </c>
    </row>
    <row r="4" spans="1:16" ht="26.25" customHeight="1" x14ac:dyDescent="0.2">
      <c r="A4" s="14"/>
      <c r="B4" s="75"/>
      <c r="C4" s="9" t="s">
        <v>177</v>
      </c>
      <c r="D4" s="76" t="s">
        <v>60</v>
      </c>
      <c r="E4" s="13">
        <v>44524</v>
      </c>
      <c r="F4" s="76" t="s">
        <v>61</v>
      </c>
      <c r="G4" s="13">
        <v>44528</v>
      </c>
      <c r="H4" s="10" t="s">
        <v>62</v>
      </c>
      <c r="I4" s="1">
        <v>36</v>
      </c>
      <c r="J4" s="1">
        <v>25</v>
      </c>
      <c r="K4" s="1">
        <v>18</v>
      </c>
      <c r="L4" s="1">
        <v>6</v>
      </c>
      <c r="M4" s="80">
        <v>4.05</v>
      </c>
      <c r="N4" s="8">
        <v>6</v>
      </c>
      <c r="O4" s="64">
        <v>7000</v>
      </c>
      <c r="P4" s="65">
        <f>Table224578910112345678910[[#This Row],[PEMBULATAN]]*O4</f>
        <v>42000</v>
      </c>
    </row>
    <row r="5" spans="1:16" ht="26.25" customHeight="1" x14ac:dyDescent="0.2">
      <c r="A5" s="14"/>
      <c r="B5" s="14"/>
      <c r="C5" s="9" t="s">
        <v>178</v>
      </c>
      <c r="D5" s="76" t="s">
        <v>60</v>
      </c>
      <c r="E5" s="13">
        <v>44524</v>
      </c>
      <c r="F5" s="76" t="s">
        <v>61</v>
      </c>
      <c r="G5" s="13">
        <v>44528</v>
      </c>
      <c r="H5" s="10" t="s">
        <v>62</v>
      </c>
      <c r="I5" s="1">
        <v>60</v>
      </c>
      <c r="J5" s="1">
        <v>35</v>
      </c>
      <c r="K5" s="1">
        <v>28</v>
      </c>
      <c r="L5" s="1">
        <v>12</v>
      </c>
      <c r="M5" s="80">
        <v>14.7</v>
      </c>
      <c r="N5" s="96">
        <v>14.7</v>
      </c>
      <c r="O5" s="64">
        <v>7000</v>
      </c>
      <c r="P5" s="65">
        <f>Table224578910112345678910[[#This Row],[PEMBULATAN]]*O5</f>
        <v>102900</v>
      </c>
    </row>
    <row r="6" spans="1:16" ht="26.25" customHeight="1" x14ac:dyDescent="0.2">
      <c r="A6" s="14"/>
      <c r="B6" s="14"/>
      <c r="C6" s="73" t="s">
        <v>179</v>
      </c>
      <c r="D6" s="78" t="s">
        <v>60</v>
      </c>
      <c r="E6" s="13">
        <v>44524</v>
      </c>
      <c r="F6" s="76" t="s">
        <v>61</v>
      </c>
      <c r="G6" s="13">
        <v>44528</v>
      </c>
      <c r="H6" s="77" t="s">
        <v>62</v>
      </c>
      <c r="I6" s="16">
        <v>48</v>
      </c>
      <c r="J6" s="16">
        <v>28</v>
      </c>
      <c r="K6" s="16">
        <v>35</v>
      </c>
      <c r="L6" s="16">
        <v>20</v>
      </c>
      <c r="M6" s="81">
        <v>11.76</v>
      </c>
      <c r="N6" s="96">
        <v>20</v>
      </c>
      <c r="O6" s="64">
        <v>7000</v>
      </c>
      <c r="P6" s="65">
        <f>Table224578910112345678910[[#This Row],[PEMBULATAN]]*O6</f>
        <v>140000</v>
      </c>
    </row>
    <row r="7" spans="1:16" ht="26.25" customHeight="1" x14ac:dyDescent="0.2">
      <c r="A7" s="14"/>
      <c r="B7" s="14"/>
      <c r="C7" s="73" t="s">
        <v>180</v>
      </c>
      <c r="D7" s="78" t="s">
        <v>60</v>
      </c>
      <c r="E7" s="13">
        <v>44524</v>
      </c>
      <c r="F7" s="76" t="s">
        <v>61</v>
      </c>
      <c r="G7" s="13">
        <v>44528</v>
      </c>
      <c r="H7" s="77" t="s">
        <v>62</v>
      </c>
      <c r="I7" s="16">
        <v>62</v>
      </c>
      <c r="J7" s="16">
        <v>64</v>
      </c>
      <c r="K7" s="16">
        <v>46</v>
      </c>
      <c r="L7" s="16">
        <v>35</v>
      </c>
      <c r="M7" s="81">
        <v>45.631999999999998</v>
      </c>
      <c r="N7" s="96">
        <v>45.631999999999998</v>
      </c>
      <c r="O7" s="64">
        <v>7000</v>
      </c>
      <c r="P7" s="65">
        <f>Table224578910112345678910[[#This Row],[PEMBULATAN]]*O7</f>
        <v>319424</v>
      </c>
    </row>
    <row r="8" spans="1:16" ht="26.25" customHeight="1" x14ac:dyDescent="0.2">
      <c r="A8" s="14"/>
      <c r="B8" s="14"/>
      <c r="C8" s="73" t="s">
        <v>181</v>
      </c>
      <c r="D8" s="78" t="s">
        <v>60</v>
      </c>
      <c r="E8" s="13">
        <v>44524</v>
      </c>
      <c r="F8" s="76" t="s">
        <v>61</v>
      </c>
      <c r="G8" s="13">
        <v>44528</v>
      </c>
      <c r="H8" s="77" t="s">
        <v>62</v>
      </c>
      <c r="I8" s="16">
        <v>47</v>
      </c>
      <c r="J8" s="16">
        <v>34</v>
      </c>
      <c r="K8" s="16">
        <v>25</v>
      </c>
      <c r="L8" s="16">
        <v>9</v>
      </c>
      <c r="M8" s="81">
        <v>9.9875000000000007</v>
      </c>
      <c r="N8" s="96">
        <v>9.9875000000000007</v>
      </c>
      <c r="O8" s="64">
        <v>7000</v>
      </c>
      <c r="P8" s="65">
        <f>Table224578910112345678910[[#This Row],[PEMBULATAN]]*O8</f>
        <v>69912.5</v>
      </c>
    </row>
    <row r="9" spans="1:16" ht="26.25" customHeight="1" x14ac:dyDescent="0.2">
      <c r="A9" s="14"/>
      <c r="B9" s="14"/>
      <c r="C9" s="73" t="s">
        <v>182</v>
      </c>
      <c r="D9" s="78" t="s">
        <v>60</v>
      </c>
      <c r="E9" s="13">
        <v>44524</v>
      </c>
      <c r="F9" s="76" t="s">
        <v>61</v>
      </c>
      <c r="G9" s="13">
        <v>44528</v>
      </c>
      <c r="H9" s="77" t="s">
        <v>62</v>
      </c>
      <c r="I9" s="16">
        <v>78</v>
      </c>
      <c r="J9" s="16">
        <v>26</v>
      </c>
      <c r="K9" s="16">
        <v>10</v>
      </c>
      <c r="L9" s="16">
        <v>18</v>
      </c>
      <c r="M9" s="81">
        <v>5.07</v>
      </c>
      <c r="N9" s="96">
        <v>18</v>
      </c>
      <c r="O9" s="64">
        <v>7000</v>
      </c>
      <c r="P9" s="65">
        <f>Table224578910112345678910[[#This Row],[PEMBULATAN]]*O9</f>
        <v>126000</v>
      </c>
    </row>
    <row r="10" spans="1:16" ht="26.25" customHeight="1" x14ac:dyDescent="0.2">
      <c r="A10" s="14"/>
      <c r="B10" s="14"/>
      <c r="C10" s="73" t="s">
        <v>183</v>
      </c>
      <c r="D10" s="78" t="s">
        <v>60</v>
      </c>
      <c r="E10" s="13">
        <v>44524</v>
      </c>
      <c r="F10" s="76" t="s">
        <v>61</v>
      </c>
      <c r="G10" s="13">
        <v>44528</v>
      </c>
      <c r="H10" s="77" t="s">
        <v>62</v>
      </c>
      <c r="I10" s="16">
        <v>64</v>
      </c>
      <c r="J10" s="16">
        <v>52</v>
      </c>
      <c r="K10" s="16">
        <v>38</v>
      </c>
      <c r="L10" s="16">
        <v>14</v>
      </c>
      <c r="M10" s="81">
        <v>31.616</v>
      </c>
      <c r="N10" s="96">
        <v>31.616</v>
      </c>
      <c r="O10" s="64">
        <v>7000</v>
      </c>
      <c r="P10" s="65">
        <f>Table224578910112345678910[[#This Row],[PEMBULATAN]]*O10</f>
        <v>221312</v>
      </c>
    </row>
    <row r="11" spans="1:16" ht="26.25" customHeight="1" x14ac:dyDescent="0.2">
      <c r="A11" s="14"/>
      <c r="B11" s="14"/>
      <c r="C11" s="73" t="s">
        <v>184</v>
      </c>
      <c r="D11" s="78" t="s">
        <v>60</v>
      </c>
      <c r="E11" s="13">
        <v>44524</v>
      </c>
      <c r="F11" s="76" t="s">
        <v>61</v>
      </c>
      <c r="G11" s="13">
        <v>44528</v>
      </c>
      <c r="H11" s="77" t="s">
        <v>62</v>
      </c>
      <c r="I11" s="16">
        <v>40</v>
      </c>
      <c r="J11" s="16">
        <v>25</v>
      </c>
      <c r="K11" s="16">
        <v>20</v>
      </c>
      <c r="L11" s="16">
        <v>9</v>
      </c>
      <c r="M11" s="81">
        <v>5</v>
      </c>
      <c r="N11" s="96">
        <v>9</v>
      </c>
      <c r="O11" s="64">
        <v>7000</v>
      </c>
      <c r="P11" s="65">
        <f>Table224578910112345678910[[#This Row],[PEMBULATAN]]*O11</f>
        <v>63000</v>
      </c>
    </row>
    <row r="12" spans="1:16" ht="26.25" customHeight="1" x14ac:dyDescent="0.2">
      <c r="A12" s="14"/>
      <c r="B12" s="14"/>
      <c r="C12" s="73" t="s">
        <v>185</v>
      </c>
      <c r="D12" s="78" t="s">
        <v>60</v>
      </c>
      <c r="E12" s="13">
        <v>44524</v>
      </c>
      <c r="F12" s="76" t="s">
        <v>61</v>
      </c>
      <c r="G12" s="13">
        <v>44528</v>
      </c>
      <c r="H12" s="77" t="s">
        <v>62</v>
      </c>
      <c r="I12" s="16">
        <v>57</v>
      </c>
      <c r="J12" s="16">
        <v>42</v>
      </c>
      <c r="K12" s="16">
        <v>32</v>
      </c>
      <c r="L12" s="16">
        <v>18</v>
      </c>
      <c r="M12" s="81">
        <v>19.152000000000001</v>
      </c>
      <c r="N12" s="96">
        <v>19.152000000000001</v>
      </c>
      <c r="O12" s="64">
        <v>7000</v>
      </c>
      <c r="P12" s="65">
        <f>Table224578910112345678910[[#This Row],[PEMBULATAN]]*O12</f>
        <v>134064</v>
      </c>
    </row>
    <row r="13" spans="1:16" ht="26.25" customHeight="1" x14ac:dyDescent="0.2">
      <c r="A13" s="14"/>
      <c r="B13" s="14"/>
      <c r="C13" s="73" t="s">
        <v>186</v>
      </c>
      <c r="D13" s="78" t="s">
        <v>60</v>
      </c>
      <c r="E13" s="13">
        <v>44524</v>
      </c>
      <c r="F13" s="76" t="s">
        <v>61</v>
      </c>
      <c r="G13" s="13">
        <v>44528</v>
      </c>
      <c r="H13" s="77" t="s">
        <v>62</v>
      </c>
      <c r="I13" s="16">
        <v>104</v>
      </c>
      <c r="J13" s="16">
        <v>26</v>
      </c>
      <c r="K13" s="16">
        <v>16</v>
      </c>
      <c r="L13" s="16">
        <v>8</v>
      </c>
      <c r="M13" s="81">
        <v>10.816000000000001</v>
      </c>
      <c r="N13" s="96">
        <v>10.816000000000001</v>
      </c>
      <c r="O13" s="64">
        <v>7000</v>
      </c>
      <c r="P13" s="65">
        <f>Table224578910112345678910[[#This Row],[PEMBULATAN]]*O13</f>
        <v>75712</v>
      </c>
    </row>
    <row r="14" spans="1:16" ht="26.25" customHeight="1" x14ac:dyDescent="0.2">
      <c r="A14" s="14"/>
      <c r="B14" s="14"/>
      <c r="C14" s="73" t="s">
        <v>187</v>
      </c>
      <c r="D14" s="78" t="s">
        <v>60</v>
      </c>
      <c r="E14" s="13">
        <v>44524</v>
      </c>
      <c r="F14" s="76" t="s">
        <v>61</v>
      </c>
      <c r="G14" s="13">
        <v>44528</v>
      </c>
      <c r="H14" s="77" t="s">
        <v>62</v>
      </c>
      <c r="I14" s="16">
        <v>47</v>
      </c>
      <c r="J14" s="16">
        <v>26</v>
      </c>
      <c r="K14" s="16">
        <v>8</v>
      </c>
      <c r="L14" s="16">
        <v>13</v>
      </c>
      <c r="M14" s="81">
        <v>2.444</v>
      </c>
      <c r="N14" s="96">
        <v>13</v>
      </c>
      <c r="O14" s="64">
        <v>7000</v>
      </c>
      <c r="P14" s="65">
        <f>Table224578910112345678910[[#This Row],[PEMBULATAN]]*O14</f>
        <v>91000</v>
      </c>
    </row>
    <row r="15" spans="1:16" ht="26.25" customHeight="1" x14ac:dyDescent="0.2">
      <c r="A15" s="14"/>
      <c r="B15" s="14"/>
      <c r="C15" s="73" t="s">
        <v>188</v>
      </c>
      <c r="D15" s="78" t="s">
        <v>60</v>
      </c>
      <c r="E15" s="13">
        <v>44524</v>
      </c>
      <c r="F15" s="76" t="s">
        <v>61</v>
      </c>
      <c r="G15" s="13">
        <v>44528</v>
      </c>
      <c r="H15" s="77" t="s">
        <v>62</v>
      </c>
      <c r="I15" s="16">
        <v>34</v>
      </c>
      <c r="J15" s="16">
        <v>30</v>
      </c>
      <c r="K15" s="16">
        <v>20</v>
      </c>
      <c r="L15" s="16">
        <v>6</v>
      </c>
      <c r="M15" s="81">
        <v>5.0999999999999996</v>
      </c>
      <c r="N15" s="96">
        <v>6</v>
      </c>
      <c r="O15" s="64">
        <v>7000</v>
      </c>
      <c r="P15" s="65">
        <f>Table224578910112345678910[[#This Row],[PEMBULATAN]]*O15</f>
        <v>42000</v>
      </c>
    </row>
    <row r="16" spans="1:16" ht="26.25" customHeight="1" x14ac:dyDescent="0.2">
      <c r="A16" s="14"/>
      <c r="B16" s="14"/>
      <c r="C16" s="73" t="s">
        <v>189</v>
      </c>
      <c r="D16" s="78" t="s">
        <v>60</v>
      </c>
      <c r="E16" s="13">
        <v>44524</v>
      </c>
      <c r="F16" s="76" t="s">
        <v>61</v>
      </c>
      <c r="G16" s="13">
        <v>44528</v>
      </c>
      <c r="H16" s="77" t="s">
        <v>62</v>
      </c>
      <c r="I16" s="16">
        <v>38</v>
      </c>
      <c r="J16" s="16">
        <v>30</v>
      </c>
      <c r="K16" s="16">
        <v>20</v>
      </c>
      <c r="L16" s="16">
        <v>8</v>
      </c>
      <c r="M16" s="81">
        <v>5.7</v>
      </c>
      <c r="N16" s="96">
        <v>8</v>
      </c>
      <c r="O16" s="64">
        <v>7000</v>
      </c>
      <c r="P16" s="65">
        <f>Table224578910112345678910[[#This Row],[PEMBULATAN]]*O16</f>
        <v>56000</v>
      </c>
    </row>
    <row r="17" spans="1:16" ht="26.25" customHeight="1" x14ac:dyDescent="0.2">
      <c r="A17" s="14"/>
      <c r="B17" s="14"/>
      <c r="C17" s="73" t="s">
        <v>190</v>
      </c>
      <c r="D17" s="78" t="s">
        <v>60</v>
      </c>
      <c r="E17" s="13">
        <v>44524</v>
      </c>
      <c r="F17" s="76" t="s">
        <v>61</v>
      </c>
      <c r="G17" s="13">
        <v>44528</v>
      </c>
      <c r="H17" s="77" t="s">
        <v>62</v>
      </c>
      <c r="I17" s="16">
        <v>72</v>
      </c>
      <c r="J17" s="16">
        <v>33</v>
      </c>
      <c r="K17" s="16">
        <v>18</v>
      </c>
      <c r="L17" s="16">
        <v>7</v>
      </c>
      <c r="M17" s="81">
        <v>10.692</v>
      </c>
      <c r="N17" s="96">
        <v>10.692</v>
      </c>
      <c r="O17" s="64">
        <v>7000</v>
      </c>
      <c r="P17" s="65">
        <f>Table224578910112345678910[[#This Row],[PEMBULATAN]]*O17</f>
        <v>74844</v>
      </c>
    </row>
    <row r="18" spans="1:16" ht="26.25" customHeight="1" x14ac:dyDescent="0.2">
      <c r="A18" s="14"/>
      <c r="B18" s="14"/>
      <c r="C18" s="73" t="s">
        <v>191</v>
      </c>
      <c r="D18" s="78" t="s">
        <v>60</v>
      </c>
      <c r="E18" s="13">
        <v>44524</v>
      </c>
      <c r="F18" s="76" t="s">
        <v>61</v>
      </c>
      <c r="G18" s="13">
        <v>44528</v>
      </c>
      <c r="H18" s="77" t="s">
        <v>62</v>
      </c>
      <c r="I18" s="16">
        <v>77</v>
      </c>
      <c r="J18" s="16">
        <v>60</v>
      </c>
      <c r="K18" s="16">
        <v>26</v>
      </c>
      <c r="L18" s="16">
        <v>32</v>
      </c>
      <c r="M18" s="81">
        <v>30.03</v>
      </c>
      <c r="N18" s="96">
        <v>32</v>
      </c>
      <c r="O18" s="64">
        <v>7000</v>
      </c>
      <c r="P18" s="65">
        <f>Table224578910112345678910[[#This Row],[PEMBULATAN]]*O18</f>
        <v>224000</v>
      </c>
    </row>
    <row r="19" spans="1:16" ht="26.25" customHeight="1" x14ac:dyDescent="0.2">
      <c r="A19" s="14"/>
      <c r="B19" s="14"/>
      <c r="C19" s="73" t="s">
        <v>192</v>
      </c>
      <c r="D19" s="78" t="s">
        <v>60</v>
      </c>
      <c r="E19" s="13">
        <v>44524</v>
      </c>
      <c r="F19" s="76" t="s">
        <v>61</v>
      </c>
      <c r="G19" s="13">
        <v>44528</v>
      </c>
      <c r="H19" s="77" t="s">
        <v>62</v>
      </c>
      <c r="I19" s="16">
        <v>77</v>
      </c>
      <c r="J19" s="16">
        <v>44</v>
      </c>
      <c r="K19" s="16">
        <v>20</v>
      </c>
      <c r="L19" s="16">
        <v>15</v>
      </c>
      <c r="M19" s="81">
        <v>16.940000000000001</v>
      </c>
      <c r="N19" s="96">
        <v>16.940000000000001</v>
      </c>
      <c r="O19" s="64">
        <v>7000</v>
      </c>
      <c r="P19" s="65">
        <f>Table224578910112345678910[[#This Row],[PEMBULATAN]]*O19</f>
        <v>118580.00000000001</v>
      </c>
    </row>
    <row r="20" spans="1:16" ht="26.25" customHeight="1" x14ac:dyDescent="0.2">
      <c r="A20" s="14"/>
      <c r="B20" s="14"/>
      <c r="C20" s="73" t="s">
        <v>193</v>
      </c>
      <c r="D20" s="78" t="s">
        <v>60</v>
      </c>
      <c r="E20" s="13">
        <v>44524</v>
      </c>
      <c r="F20" s="76" t="s">
        <v>61</v>
      </c>
      <c r="G20" s="13">
        <v>44528</v>
      </c>
      <c r="H20" s="77" t="s">
        <v>62</v>
      </c>
      <c r="I20" s="16">
        <v>50</v>
      </c>
      <c r="J20" s="16">
        <v>50</v>
      </c>
      <c r="K20" s="16">
        <v>25</v>
      </c>
      <c r="L20" s="16">
        <v>8</v>
      </c>
      <c r="M20" s="81">
        <v>15.625</v>
      </c>
      <c r="N20" s="96">
        <v>15.625</v>
      </c>
      <c r="O20" s="64">
        <v>7000</v>
      </c>
      <c r="P20" s="65">
        <f>Table224578910112345678910[[#This Row],[PEMBULATAN]]*O20</f>
        <v>109375</v>
      </c>
    </row>
    <row r="21" spans="1:16" ht="26.25" customHeight="1" x14ac:dyDescent="0.2">
      <c r="A21" s="14"/>
      <c r="B21" s="14"/>
      <c r="C21" s="73" t="s">
        <v>194</v>
      </c>
      <c r="D21" s="78" t="s">
        <v>60</v>
      </c>
      <c r="E21" s="13">
        <v>44524</v>
      </c>
      <c r="F21" s="76" t="s">
        <v>61</v>
      </c>
      <c r="G21" s="13">
        <v>44528</v>
      </c>
      <c r="H21" s="77" t="s">
        <v>62</v>
      </c>
      <c r="I21" s="16">
        <v>42</v>
      </c>
      <c r="J21" s="16">
        <v>30</v>
      </c>
      <c r="K21" s="16">
        <v>27</v>
      </c>
      <c r="L21" s="16">
        <v>6</v>
      </c>
      <c r="M21" s="81">
        <v>8.5050000000000008</v>
      </c>
      <c r="N21" s="96">
        <v>8.5050000000000008</v>
      </c>
      <c r="O21" s="64">
        <v>7000</v>
      </c>
      <c r="P21" s="65">
        <f>Table224578910112345678910[[#This Row],[PEMBULATAN]]*O21</f>
        <v>59535.000000000007</v>
      </c>
    </row>
    <row r="22" spans="1:16" ht="26.25" customHeight="1" x14ac:dyDescent="0.2">
      <c r="A22" s="14"/>
      <c r="B22" s="14"/>
      <c r="C22" s="73" t="s">
        <v>195</v>
      </c>
      <c r="D22" s="78" t="s">
        <v>60</v>
      </c>
      <c r="E22" s="13">
        <v>44524</v>
      </c>
      <c r="F22" s="76" t="s">
        <v>61</v>
      </c>
      <c r="G22" s="13">
        <v>44528</v>
      </c>
      <c r="H22" s="77" t="s">
        <v>62</v>
      </c>
      <c r="I22" s="16">
        <v>66</v>
      </c>
      <c r="J22" s="16">
        <v>36</v>
      </c>
      <c r="K22" s="16">
        <v>26</v>
      </c>
      <c r="L22" s="16">
        <v>16</v>
      </c>
      <c r="M22" s="81">
        <v>15.444000000000001</v>
      </c>
      <c r="N22" s="96">
        <v>17</v>
      </c>
      <c r="O22" s="64">
        <v>7000</v>
      </c>
      <c r="P22" s="65">
        <f>Table224578910112345678910[[#This Row],[PEMBULATAN]]*O22</f>
        <v>119000</v>
      </c>
    </row>
    <row r="23" spans="1:16" ht="26.25" customHeight="1" x14ac:dyDescent="0.2">
      <c r="A23" s="14"/>
      <c r="B23" s="14"/>
      <c r="C23" s="73" t="s">
        <v>196</v>
      </c>
      <c r="D23" s="78" t="s">
        <v>60</v>
      </c>
      <c r="E23" s="13">
        <v>44524</v>
      </c>
      <c r="F23" s="76" t="s">
        <v>61</v>
      </c>
      <c r="G23" s="13">
        <v>44528</v>
      </c>
      <c r="H23" s="77" t="s">
        <v>62</v>
      </c>
      <c r="I23" s="16">
        <v>80</v>
      </c>
      <c r="J23" s="16">
        <v>50</v>
      </c>
      <c r="K23" s="16">
        <v>44</v>
      </c>
      <c r="L23" s="16">
        <v>17</v>
      </c>
      <c r="M23" s="81">
        <v>44</v>
      </c>
      <c r="N23" s="96">
        <v>44</v>
      </c>
      <c r="O23" s="64">
        <v>7000</v>
      </c>
      <c r="P23" s="65">
        <f>Table224578910112345678910[[#This Row],[PEMBULATAN]]*O23</f>
        <v>308000</v>
      </c>
    </row>
    <row r="24" spans="1:16" ht="26.25" customHeight="1" x14ac:dyDescent="0.2">
      <c r="A24" s="14"/>
      <c r="B24" s="14"/>
      <c r="C24" s="73" t="s">
        <v>197</v>
      </c>
      <c r="D24" s="78" t="s">
        <v>60</v>
      </c>
      <c r="E24" s="13">
        <v>44524</v>
      </c>
      <c r="F24" s="76" t="s">
        <v>61</v>
      </c>
      <c r="G24" s="13">
        <v>44528</v>
      </c>
      <c r="H24" s="77" t="s">
        <v>62</v>
      </c>
      <c r="I24" s="16">
        <v>42</v>
      </c>
      <c r="J24" s="16">
        <v>33</v>
      </c>
      <c r="K24" s="16">
        <v>27</v>
      </c>
      <c r="L24" s="16">
        <v>7</v>
      </c>
      <c r="M24" s="81">
        <v>9.3554999999999993</v>
      </c>
      <c r="N24" s="96">
        <v>10</v>
      </c>
      <c r="O24" s="64">
        <v>7000</v>
      </c>
      <c r="P24" s="65">
        <f>Table224578910112345678910[[#This Row],[PEMBULATAN]]*O24</f>
        <v>70000</v>
      </c>
    </row>
    <row r="25" spans="1:16" ht="26.25" customHeight="1" x14ac:dyDescent="0.2">
      <c r="A25" s="14"/>
      <c r="B25" s="14"/>
      <c r="C25" s="73" t="s">
        <v>198</v>
      </c>
      <c r="D25" s="78" t="s">
        <v>60</v>
      </c>
      <c r="E25" s="13">
        <v>44524</v>
      </c>
      <c r="F25" s="76" t="s">
        <v>61</v>
      </c>
      <c r="G25" s="13">
        <v>44528</v>
      </c>
      <c r="H25" s="77" t="s">
        <v>62</v>
      </c>
      <c r="I25" s="16">
        <v>50</v>
      </c>
      <c r="J25" s="16">
        <v>44</v>
      </c>
      <c r="K25" s="16">
        <v>26</v>
      </c>
      <c r="L25" s="16">
        <v>11</v>
      </c>
      <c r="M25" s="81">
        <v>14.3</v>
      </c>
      <c r="N25" s="96">
        <v>15</v>
      </c>
      <c r="O25" s="64">
        <v>7000</v>
      </c>
      <c r="P25" s="65">
        <f>Table224578910112345678910[[#This Row],[PEMBULATAN]]*O25</f>
        <v>105000</v>
      </c>
    </row>
    <row r="26" spans="1:16" ht="26.25" customHeight="1" x14ac:dyDescent="0.2">
      <c r="A26" s="14"/>
      <c r="B26" s="14"/>
      <c r="C26" s="73" t="s">
        <v>199</v>
      </c>
      <c r="D26" s="78" t="s">
        <v>60</v>
      </c>
      <c r="E26" s="13">
        <v>44524</v>
      </c>
      <c r="F26" s="76" t="s">
        <v>61</v>
      </c>
      <c r="G26" s="13">
        <v>44528</v>
      </c>
      <c r="H26" s="77" t="s">
        <v>62</v>
      </c>
      <c r="I26" s="16">
        <v>75</v>
      </c>
      <c r="J26" s="16">
        <v>36</v>
      </c>
      <c r="K26" s="16">
        <v>48</v>
      </c>
      <c r="L26" s="16">
        <v>33</v>
      </c>
      <c r="M26" s="81">
        <v>32.4</v>
      </c>
      <c r="N26" s="96">
        <v>33</v>
      </c>
      <c r="O26" s="64">
        <v>7000</v>
      </c>
      <c r="P26" s="65">
        <f>Table224578910112345678910[[#This Row],[PEMBULATAN]]*O26</f>
        <v>231000</v>
      </c>
    </row>
    <row r="27" spans="1:16" ht="26.25" customHeight="1" x14ac:dyDescent="0.2">
      <c r="A27" s="14"/>
      <c r="B27" s="14"/>
      <c r="C27" s="73" t="s">
        <v>200</v>
      </c>
      <c r="D27" s="78" t="s">
        <v>60</v>
      </c>
      <c r="E27" s="13">
        <v>44524</v>
      </c>
      <c r="F27" s="76" t="s">
        <v>61</v>
      </c>
      <c r="G27" s="13">
        <v>44528</v>
      </c>
      <c r="H27" s="77" t="s">
        <v>62</v>
      </c>
      <c r="I27" s="16">
        <v>38</v>
      </c>
      <c r="J27" s="16">
        <v>28</v>
      </c>
      <c r="K27" s="16">
        <v>31</v>
      </c>
      <c r="L27" s="16">
        <v>21</v>
      </c>
      <c r="M27" s="81">
        <v>8.2460000000000004</v>
      </c>
      <c r="N27" s="96">
        <v>21</v>
      </c>
      <c r="O27" s="64">
        <v>7000</v>
      </c>
      <c r="P27" s="65">
        <f>Table224578910112345678910[[#This Row],[PEMBULATAN]]*O27</f>
        <v>147000</v>
      </c>
    </row>
    <row r="28" spans="1:16" ht="26.25" customHeight="1" x14ac:dyDescent="0.2">
      <c r="A28" s="14"/>
      <c r="B28" s="14"/>
      <c r="C28" s="73" t="s">
        <v>201</v>
      </c>
      <c r="D28" s="78" t="s">
        <v>60</v>
      </c>
      <c r="E28" s="13">
        <v>44524</v>
      </c>
      <c r="F28" s="76" t="s">
        <v>61</v>
      </c>
      <c r="G28" s="13">
        <v>44528</v>
      </c>
      <c r="H28" s="77" t="s">
        <v>62</v>
      </c>
      <c r="I28" s="16">
        <v>73</v>
      </c>
      <c r="J28" s="16">
        <v>45</v>
      </c>
      <c r="K28" s="16">
        <v>85</v>
      </c>
      <c r="L28" s="16">
        <v>40</v>
      </c>
      <c r="M28" s="81">
        <v>69.806250000000006</v>
      </c>
      <c r="N28" s="96">
        <v>69.806250000000006</v>
      </c>
      <c r="O28" s="64">
        <v>7000</v>
      </c>
      <c r="P28" s="65">
        <f>Table224578910112345678910[[#This Row],[PEMBULATAN]]*O28</f>
        <v>488643.75000000006</v>
      </c>
    </row>
    <row r="29" spans="1:16" ht="26.25" customHeight="1" x14ac:dyDescent="0.2">
      <c r="A29" s="14"/>
      <c r="B29" s="14"/>
      <c r="C29" s="73" t="s">
        <v>202</v>
      </c>
      <c r="D29" s="78" t="s">
        <v>60</v>
      </c>
      <c r="E29" s="13">
        <v>44524</v>
      </c>
      <c r="F29" s="76" t="s">
        <v>61</v>
      </c>
      <c r="G29" s="13">
        <v>44528</v>
      </c>
      <c r="H29" s="77" t="s">
        <v>62</v>
      </c>
      <c r="I29" s="16">
        <v>41</v>
      </c>
      <c r="J29" s="16">
        <v>52</v>
      </c>
      <c r="K29" s="16">
        <v>35</v>
      </c>
      <c r="L29" s="16">
        <v>46</v>
      </c>
      <c r="M29" s="81">
        <v>18.655000000000001</v>
      </c>
      <c r="N29" s="96">
        <v>46</v>
      </c>
      <c r="O29" s="64">
        <v>7000</v>
      </c>
      <c r="P29" s="65">
        <f>Table224578910112345678910[[#This Row],[PEMBULATAN]]*O29</f>
        <v>322000</v>
      </c>
    </row>
    <row r="30" spans="1:16" ht="26.25" customHeight="1" x14ac:dyDescent="0.2">
      <c r="A30" s="14"/>
      <c r="B30" s="97"/>
      <c r="C30" s="73" t="s">
        <v>203</v>
      </c>
      <c r="D30" s="78" t="s">
        <v>60</v>
      </c>
      <c r="E30" s="13">
        <v>44524</v>
      </c>
      <c r="F30" s="76" t="s">
        <v>61</v>
      </c>
      <c r="G30" s="13">
        <v>44528</v>
      </c>
      <c r="H30" s="77" t="s">
        <v>62</v>
      </c>
      <c r="I30" s="16">
        <v>68</v>
      </c>
      <c r="J30" s="16">
        <v>54</v>
      </c>
      <c r="K30" s="16">
        <v>82</v>
      </c>
      <c r="L30" s="16">
        <v>40</v>
      </c>
      <c r="M30" s="81">
        <v>75.275999999999996</v>
      </c>
      <c r="N30" s="96">
        <v>75.275999999999996</v>
      </c>
      <c r="O30" s="64">
        <v>7000</v>
      </c>
      <c r="P30" s="65">
        <f>Table224578910112345678910[[#This Row],[PEMBULATAN]]*O30</f>
        <v>526932</v>
      </c>
    </row>
    <row r="31" spans="1:16" ht="26.25" customHeight="1" x14ac:dyDescent="0.2">
      <c r="A31" s="14"/>
      <c r="B31" s="14" t="s">
        <v>204</v>
      </c>
      <c r="C31" s="73" t="s">
        <v>205</v>
      </c>
      <c r="D31" s="78" t="s">
        <v>60</v>
      </c>
      <c r="E31" s="13">
        <v>44524</v>
      </c>
      <c r="F31" s="76" t="s">
        <v>61</v>
      </c>
      <c r="G31" s="13">
        <v>44528</v>
      </c>
      <c r="H31" s="77" t="s">
        <v>62</v>
      </c>
      <c r="I31" s="16">
        <v>48</v>
      </c>
      <c r="J31" s="16">
        <v>40</v>
      </c>
      <c r="K31" s="16">
        <v>27</v>
      </c>
      <c r="L31" s="16">
        <v>20</v>
      </c>
      <c r="M31" s="81">
        <v>12.96</v>
      </c>
      <c r="N31" s="72">
        <v>20</v>
      </c>
      <c r="O31" s="64">
        <v>7000</v>
      </c>
      <c r="P31" s="65">
        <f>Table224578910112345678910[[#This Row],[PEMBULATAN]]*O31</f>
        <v>140000</v>
      </c>
    </row>
    <row r="32" spans="1:16" ht="26.25" customHeight="1" x14ac:dyDescent="0.2">
      <c r="A32" s="14"/>
      <c r="B32" s="14"/>
      <c r="C32" s="73" t="s">
        <v>206</v>
      </c>
      <c r="D32" s="78" t="s">
        <v>60</v>
      </c>
      <c r="E32" s="13">
        <v>44524</v>
      </c>
      <c r="F32" s="76" t="s">
        <v>61</v>
      </c>
      <c r="G32" s="13">
        <v>44528</v>
      </c>
      <c r="H32" s="77" t="s">
        <v>62</v>
      </c>
      <c r="I32" s="16">
        <v>65</v>
      </c>
      <c r="J32" s="16">
        <v>47</v>
      </c>
      <c r="K32" s="16">
        <v>32</v>
      </c>
      <c r="L32" s="16">
        <v>41</v>
      </c>
      <c r="M32" s="81">
        <v>24.44</v>
      </c>
      <c r="N32" s="72">
        <v>41</v>
      </c>
      <c r="O32" s="64">
        <v>7000</v>
      </c>
      <c r="P32" s="65">
        <f>Table224578910112345678910[[#This Row],[PEMBULATAN]]*O32</f>
        <v>287000</v>
      </c>
    </row>
    <row r="33" spans="1:16" ht="22.5" customHeight="1" x14ac:dyDescent="0.2">
      <c r="A33" s="117" t="s">
        <v>30</v>
      </c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9"/>
      <c r="M33" s="79">
        <f>SUBTOTAL(109,Table224578910112345678910[KG VOLUME])</f>
        <v>581.86474999999996</v>
      </c>
      <c r="N33" s="68">
        <f>SUM(N3:N32)</f>
        <v>692.74775</v>
      </c>
      <c r="O33" s="120">
        <f>SUM(P3:P32)</f>
        <v>4849234.25</v>
      </c>
      <c r="P33" s="121"/>
    </row>
    <row r="34" spans="1:16" ht="18" customHeight="1" x14ac:dyDescent="0.2">
      <c r="A34" s="86"/>
      <c r="B34" s="56" t="s">
        <v>42</v>
      </c>
      <c r="C34" s="55"/>
      <c r="D34" s="57" t="s">
        <v>43</v>
      </c>
      <c r="E34" s="86"/>
      <c r="F34" s="86"/>
      <c r="G34" s="86"/>
      <c r="H34" s="86"/>
      <c r="I34" s="86"/>
      <c r="J34" s="86"/>
      <c r="K34" s="86"/>
      <c r="L34" s="86"/>
      <c r="M34" s="87"/>
      <c r="N34" s="88" t="s">
        <v>52</v>
      </c>
      <c r="O34" s="89"/>
      <c r="P34" s="89">
        <v>0</v>
      </c>
    </row>
    <row r="35" spans="1:16" ht="18" customHeight="1" thickBot="1" x14ac:dyDescent="0.25">
      <c r="A35" s="86"/>
      <c r="B35" s="56"/>
      <c r="C35" s="55"/>
      <c r="D35" s="57"/>
      <c r="E35" s="86"/>
      <c r="F35" s="86"/>
      <c r="G35" s="86"/>
      <c r="H35" s="86"/>
      <c r="I35" s="86"/>
      <c r="J35" s="86"/>
      <c r="K35" s="86"/>
      <c r="L35" s="86"/>
      <c r="M35" s="87"/>
      <c r="N35" s="90" t="s">
        <v>53</v>
      </c>
      <c r="O35" s="91"/>
      <c r="P35" s="91">
        <f>O33-P34</f>
        <v>4849234.25</v>
      </c>
    </row>
    <row r="36" spans="1:16" ht="18" customHeight="1" x14ac:dyDescent="0.2">
      <c r="A36" s="11"/>
      <c r="H36" s="63"/>
      <c r="N36" s="62" t="s">
        <v>31</v>
      </c>
      <c r="P36" s="69">
        <f>P35*1%</f>
        <v>48492.342499999999</v>
      </c>
    </row>
    <row r="37" spans="1:16" ht="18" customHeight="1" thickBot="1" x14ac:dyDescent="0.25">
      <c r="A37" s="11"/>
      <c r="H37" s="63"/>
      <c r="N37" s="62" t="s">
        <v>54</v>
      </c>
      <c r="P37" s="71">
        <f>P35*2%</f>
        <v>96984.684999999998</v>
      </c>
    </row>
    <row r="38" spans="1:16" ht="18" customHeight="1" x14ac:dyDescent="0.2">
      <c r="A38" s="11"/>
      <c r="H38" s="63"/>
      <c r="N38" s="66" t="s">
        <v>32</v>
      </c>
      <c r="O38" s="67"/>
      <c r="P38" s="70">
        <f>P35+P36-P37</f>
        <v>4800741.9075000007</v>
      </c>
    </row>
    <row r="40" spans="1:16" x14ac:dyDescent="0.2">
      <c r="A40" s="11"/>
      <c r="H40" s="63"/>
      <c r="P40" s="71"/>
    </row>
    <row r="41" spans="1:16" x14ac:dyDescent="0.2">
      <c r="A41" s="11"/>
      <c r="H41" s="63"/>
      <c r="O41" s="58"/>
      <c r="P41" s="71"/>
    </row>
    <row r="42" spans="1:16" s="3" customFormat="1" x14ac:dyDescent="0.25">
      <c r="A42" s="11"/>
      <c r="B42" s="2"/>
      <c r="C42" s="2"/>
      <c r="E42" s="12"/>
      <c r="H42" s="63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3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3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3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3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3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3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3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3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3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3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63"/>
      <c r="N53" s="15"/>
      <c r="O53" s="15"/>
      <c r="P53" s="15"/>
    </row>
  </sheetData>
  <mergeCells count="2">
    <mergeCell ref="A33:L33"/>
    <mergeCell ref="O33:P33"/>
  </mergeCells>
  <conditionalFormatting sqref="B3">
    <cfRule type="duplicateValues" dxfId="283" priority="2"/>
  </conditionalFormatting>
  <conditionalFormatting sqref="B4">
    <cfRule type="duplicateValues" dxfId="282" priority="1"/>
  </conditionalFormatting>
  <conditionalFormatting sqref="B5:B32">
    <cfRule type="duplicateValues" dxfId="281" priority="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11" sqref="O1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404036</v>
      </c>
      <c r="B3" s="74" t="s">
        <v>207</v>
      </c>
      <c r="C3" s="9" t="s">
        <v>208</v>
      </c>
      <c r="D3" s="76" t="s">
        <v>60</v>
      </c>
      <c r="E3" s="13">
        <v>44525</v>
      </c>
      <c r="F3" s="76" t="s">
        <v>214</v>
      </c>
      <c r="G3" s="13">
        <v>44531</v>
      </c>
      <c r="H3" s="10" t="s">
        <v>521</v>
      </c>
      <c r="I3" s="1">
        <v>24</v>
      </c>
      <c r="J3" s="1">
        <v>20</v>
      </c>
      <c r="K3" s="1">
        <v>24</v>
      </c>
      <c r="L3" s="1">
        <v>14</v>
      </c>
      <c r="M3" s="80">
        <v>2.88</v>
      </c>
      <c r="N3" s="8">
        <v>14</v>
      </c>
      <c r="O3" s="64">
        <v>7000</v>
      </c>
      <c r="P3" s="65">
        <f>Table22457891011234567891011[[#This Row],[PEMBULATAN]]*O3</f>
        <v>98000</v>
      </c>
    </row>
    <row r="4" spans="1:16" ht="26.25" customHeight="1" x14ac:dyDescent="0.2">
      <c r="A4" s="14"/>
      <c r="B4" s="75"/>
      <c r="C4" s="9" t="s">
        <v>209</v>
      </c>
      <c r="D4" s="76" t="s">
        <v>60</v>
      </c>
      <c r="E4" s="13">
        <v>44525</v>
      </c>
      <c r="F4" s="76" t="s">
        <v>214</v>
      </c>
      <c r="G4" s="13">
        <v>44531</v>
      </c>
      <c r="H4" s="10" t="s">
        <v>521</v>
      </c>
      <c r="I4" s="1">
        <v>76</v>
      </c>
      <c r="J4" s="1">
        <v>24</v>
      </c>
      <c r="K4" s="1">
        <v>17</v>
      </c>
      <c r="L4" s="1">
        <v>10</v>
      </c>
      <c r="M4" s="80">
        <v>7.7519999999999998</v>
      </c>
      <c r="N4" s="8">
        <v>10</v>
      </c>
      <c r="O4" s="64">
        <v>7000</v>
      </c>
      <c r="P4" s="65">
        <f>Table22457891011234567891011[[#This Row],[PEMBULATAN]]*O4</f>
        <v>70000</v>
      </c>
    </row>
    <row r="5" spans="1:16" ht="26.25" customHeight="1" x14ac:dyDescent="0.2">
      <c r="A5" s="14"/>
      <c r="B5" s="14"/>
      <c r="C5" s="9" t="s">
        <v>210</v>
      </c>
      <c r="D5" s="76" t="s">
        <v>60</v>
      </c>
      <c r="E5" s="13">
        <v>44525</v>
      </c>
      <c r="F5" s="76" t="s">
        <v>214</v>
      </c>
      <c r="G5" s="13">
        <v>44531</v>
      </c>
      <c r="H5" s="10" t="s">
        <v>521</v>
      </c>
      <c r="I5" s="1">
        <v>60</v>
      </c>
      <c r="J5" s="1">
        <v>20</v>
      </c>
      <c r="K5" s="1">
        <v>43</v>
      </c>
      <c r="L5" s="1">
        <v>12</v>
      </c>
      <c r="M5" s="80">
        <v>12.9</v>
      </c>
      <c r="N5" s="96">
        <v>12.9</v>
      </c>
      <c r="O5" s="64">
        <v>7000</v>
      </c>
      <c r="P5" s="65">
        <f>Table22457891011234567891011[[#This Row],[PEMBULATAN]]*O5</f>
        <v>90300</v>
      </c>
    </row>
    <row r="6" spans="1:16" ht="26.25" customHeight="1" x14ac:dyDescent="0.2">
      <c r="A6" s="14"/>
      <c r="B6" s="14"/>
      <c r="C6" s="73" t="s">
        <v>211</v>
      </c>
      <c r="D6" s="78" t="s">
        <v>60</v>
      </c>
      <c r="E6" s="13">
        <v>44525</v>
      </c>
      <c r="F6" s="76" t="s">
        <v>214</v>
      </c>
      <c r="G6" s="13">
        <v>44531</v>
      </c>
      <c r="H6" s="10" t="s">
        <v>521</v>
      </c>
      <c r="I6" s="16">
        <v>163</v>
      </c>
      <c r="J6" s="16">
        <v>37</v>
      </c>
      <c r="K6" s="16">
        <v>37</v>
      </c>
      <c r="L6" s="16">
        <v>17</v>
      </c>
      <c r="M6" s="81">
        <v>55.786749999999998</v>
      </c>
      <c r="N6" s="96">
        <v>55.786749999999998</v>
      </c>
      <c r="O6" s="64">
        <v>7000</v>
      </c>
      <c r="P6" s="65">
        <f>Table22457891011234567891011[[#This Row],[PEMBULATAN]]*O6</f>
        <v>390507.25</v>
      </c>
    </row>
    <row r="7" spans="1:16" ht="26.25" customHeight="1" x14ac:dyDescent="0.2">
      <c r="A7" s="14"/>
      <c r="B7" s="14"/>
      <c r="C7" s="73" t="s">
        <v>212</v>
      </c>
      <c r="D7" s="78" t="s">
        <v>60</v>
      </c>
      <c r="E7" s="13">
        <v>44525</v>
      </c>
      <c r="F7" s="76" t="s">
        <v>214</v>
      </c>
      <c r="G7" s="13">
        <v>44531</v>
      </c>
      <c r="H7" s="10" t="s">
        <v>521</v>
      </c>
      <c r="I7" s="16">
        <v>87</v>
      </c>
      <c r="J7" s="16">
        <v>77</v>
      </c>
      <c r="K7" s="16">
        <v>37</v>
      </c>
      <c r="L7" s="16">
        <v>16</v>
      </c>
      <c r="M7" s="81">
        <v>61.96575</v>
      </c>
      <c r="N7" s="96">
        <v>61.96575</v>
      </c>
      <c r="O7" s="64">
        <v>7000</v>
      </c>
      <c r="P7" s="65">
        <f>Table22457891011234567891011[[#This Row],[PEMBULATAN]]*O7</f>
        <v>433760.25</v>
      </c>
    </row>
    <row r="8" spans="1:16" ht="26.25" customHeight="1" x14ac:dyDescent="0.2">
      <c r="A8" s="14"/>
      <c r="B8" s="14"/>
      <c r="C8" s="73" t="s">
        <v>213</v>
      </c>
      <c r="D8" s="78" t="s">
        <v>60</v>
      </c>
      <c r="E8" s="13">
        <v>44525</v>
      </c>
      <c r="F8" s="76" t="s">
        <v>214</v>
      </c>
      <c r="G8" s="13">
        <v>44531</v>
      </c>
      <c r="H8" s="10" t="s">
        <v>521</v>
      </c>
      <c r="I8" s="16">
        <v>74</v>
      </c>
      <c r="J8" s="16">
        <v>50</v>
      </c>
      <c r="K8" s="16">
        <v>28</v>
      </c>
      <c r="L8" s="16">
        <v>18</v>
      </c>
      <c r="M8" s="81">
        <v>25.9</v>
      </c>
      <c r="N8" s="96">
        <v>25.9</v>
      </c>
      <c r="O8" s="64">
        <v>7000</v>
      </c>
      <c r="P8" s="65">
        <f>Table22457891011234567891011[[#This Row],[PEMBULATAN]]*O8</f>
        <v>181300</v>
      </c>
    </row>
    <row r="9" spans="1:16" ht="22.5" customHeight="1" x14ac:dyDescent="0.2">
      <c r="A9" s="117" t="s">
        <v>30</v>
      </c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9"/>
      <c r="M9" s="79">
        <f>SUBTOTAL(109,Table22457891011234567891011[KG VOLUME])</f>
        <v>167.18449999999999</v>
      </c>
      <c r="N9" s="68">
        <f>SUM(N3:N8)</f>
        <v>180.55249999999998</v>
      </c>
      <c r="O9" s="120">
        <f>SUM(P3:P8)</f>
        <v>1263867.5</v>
      </c>
      <c r="P9" s="121"/>
    </row>
    <row r="10" spans="1:16" ht="18" customHeight="1" x14ac:dyDescent="0.2">
      <c r="A10" s="86"/>
      <c r="B10" s="56" t="s">
        <v>42</v>
      </c>
      <c r="C10" s="55"/>
      <c r="D10" s="57" t="s">
        <v>43</v>
      </c>
      <c r="E10" s="86"/>
      <c r="F10" s="86"/>
      <c r="G10" s="86"/>
      <c r="H10" s="86"/>
      <c r="I10" s="86"/>
      <c r="J10" s="86"/>
      <c r="K10" s="86"/>
      <c r="L10" s="86"/>
      <c r="M10" s="87"/>
      <c r="N10" s="88" t="s">
        <v>52</v>
      </c>
      <c r="O10" s="89"/>
      <c r="P10" s="89">
        <v>0</v>
      </c>
    </row>
    <row r="11" spans="1:16" ht="18" customHeight="1" thickBot="1" x14ac:dyDescent="0.25">
      <c r="A11" s="86"/>
      <c r="B11" s="56"/>
      <c r="C11" s="55"/>
      <c r="D11" s="57"/>
      <c r="E11" s="86"/>
      <c r="F11" s="86"/>
      <c r="G11" s="86"/>
      <c r="H11" s="86"/>
      <c r="I11" s="86"/>
      <c r="J11" s="86"/>
      <c r="K11" s="86"/>
      <c r="L11" s="86"/>
      <c r="M11" s="87"/>
      <c r="N11" s="90" t="s">
        <v>53</v>
      </c>
      <c r="O11" s="91"/>
      <c r="P11" s="91">
        <f>O9-P10</f>
        <v>1263867.5</v>
      </c>
    </row>
    <row r="12" spans="1:16" ht="18" customHeight="1" x14ac:dyDescent="0.2">
      <c r="A12" s="11"/>
      <c r="H12" s="63"/>
      <c r="N12" s="62" t="s">
        <v>31</v>
      </c>
      <c r="P12" s="69">
        <f>P11*1%</f>
        <v>12638.675000000001</v>
      </c>
    </row>
    <row r="13" spans="1:16" ht="18" customHeight="1" thickBot="1" x14ac:dyDescent="0.25">
      <c r="A13" s="11"/>
      <c r="H13" s="63"/>
      <c r="N13" s="62" t="s">
        <v>54</v>
      </c>
      <c r="P13" s="71">
        <f>P11*2%</f>
        <v>25277.350000000002</v>
      </c>
    </row>
    <row r="14" spans="1:16" ht="18" customHeight="1" x14ac:dyDescent="0.2">
      <c r="A14" s="11"/>
      <c r="H14" s="63"/>
      <c r="N14" s="66" t="s">
        <v>32</v>
      </c>
      <c r="O14" s="67"/>
      <c r="P14" s="70">
        <f>P11+P12-P13</f>
        <v>1251228.825</v>
      </c>
    </row>
    <row r="16" spans="1:16" x14ac:dyDescent="0.2">
      <c r="A16" s="11"/>
      <c r="H16" s="63"/>
      <c r="P16" s="71"/>
    </row>
    <row r="17" spans="1:16" x14ac:dyDescent="0.2">
      <c r="A17" s="11"/>
      <c r="H17" s="63"/>
      <c r="O17" s="58"/>
      <c r="P17" s="71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3"/>
      <c r="N29" s="15"/>
      <c r="O29" s="15"/>
      <c r="P29" s="15"/>
    </row>
  </sheetData>
  <mergeCells count="2">
    <mergeCell ref="A9:L9"/>
    <mergeCell ref="O9:P9"/>
  </mergeCells>
  <conditionalFormatting sqref="B3">
    <cfRule type="duplicateValues" dxfId="265" priority="2"/>
  </conditionalFormatting>
  <conditionalFormatting sqref="B4">
    <cfRule type="duplicateValues" dxfId="264" priority="1"/>
  </conditionalFormatting>
  <conditionalFormatting sqref="B5:B8">
    <cfRule type="duplicateValues" dxfId="263" priority="1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3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A52" sqref="A3:XFD5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4" customHeight="1" x14ac:dyDescent="0.2">
      <c r="A3" s="83">
        <v>403707</v>
      </c>
      <c r="B3" s="74" t="s">
        <v>216</v>
      </c>
      <c r="C3" s="9" t="s">
        <v>217</v>
      </c>
      <c r="D3" s="76" t="s">
        <v>60</v>
      </c>
      <c r="E3" s="13">
        <v>44525</v>
      </c>
      <c r="F3" s="76" t="s">
        <v>214</v>
      </c>
      <c r="G3" s="13">
        <v>44531</v>
      </c>
      <c r="H3" s="10" t="s">
        <v>215</v>
      </c>
      <c r="I3" s="1">
        <v>43</v>
      </c>
      <c r="J3" s="1">
        <v>24</v>
      </c>
      <c r="K3" s="1">
        <v>23</v>
      </c>
      <c r="L3" s="1">
        <v>12</v>
      </c>
      <c r="M3" s="80">
        <v>5.9340000000000002</v>
      </c>
      <c r="N3" s="8">
        <v>12</v>
      </c>
      <c r="O3" s="64">
        <v>7000</v>
      </c>
      <c r="P3" s="65">
        <f>Table2245789101123456789101112[[#This Row],[PEMBULATAN]]*O3</f>
        <v>84000</v>
      </c>
    </row>
    <row r="4" spans="1:16" ht="24" customHeight="1" x14ac:dyDescent="0.2">
      <c r="A4" s="14"/>
      <c r="B4" s="75"/>
      <c r="C4" s="73" t="s">
        <v>218</v>
      </c>
      <c r="D4" s="78" t="s">
        <v>60</v>
      </c>
      <c r="E4" s="13">
        <v>44525</v>
      </c>
      <c r="F4" s="76" t="s">
        <v>214</v>
      </c>
      <c r="G4" s="13">
        <v>44531</v>
      </c>
      <c r="H4" s="77" t="s">
        <v>215</v>
      </c>
      <c r="I4" s="16">
        <v>110</v>
      </c>
      <c r="J4" s="16">
        <v>44</v>
      </c>
      <c r="K4" s="16">
        <v>21</v>
      </c>
      <c r="L4" s="16">
        <v>14</v>
      </c>
      <c r="M4" s="81">
        <v>25.41</v>
      </c>
      <c r="N4" s="72">
        <v>26</v>
      </c>
      <c r="O4" s="64">
        <v>7000</v>
      </c>
      <c r="P4" s="65">
        <f>Table2245789101123456789101112[[#This Row],[PEMBULATAN]]*O4</f>
        <v>182000</v>
      </c>
    </row>
    <row r="5" spans="1:16" ht="24" customHeight="1" x14ac:dyDescent="0.2">
      <c r="A5" s="14"/>
      <c r="B5" s="75"/>
      <c r="C5" s="73" t="s">
        <v>219</v>
      </c>
      <c r="D5" s="78" t="s">
        <v>60</v>
      </c>
      <c r="E5" s="13">
        <v>44525</v>
      </c>
      <c r="F5" s="76" t="s">
        <v>214</v>
      </c>
      <c r="G5" s="13">
        <v>44531</v>
      </c>
      <c r="H5" s="77" t="s">
        <v>215</v>
      </c>
      <c r="I5" s="16">
        <v>48</v>
      </c>
      <c r="J5" s="16">
        <v>51</v>
      </c>
      <c r="K5" s="16">
        <v>25</v>
      </c>
      <c r="L5" s="16">
        <v>10</v>
      </c>
      <c r="M5" s="81">
        <v>15.3</v>
      </c>
      <c r="N5" s="72">
        <v>16</v>
      </c>
      <c r="O5" s="64">
        <v>7000</v>
      </c>
      <c r="P5" s="65">
        <f>Table2245789101123456789101112[[#This Row],[PEMBULATAN]]*O5</f>
        <v>112000</v>
      </c>
    </row>
    <row r="6" spans="1:16" ht="24" customHeight="1" x14ac:dyDescent="0.2">
      <c r="A6" s="14"/>
      <c r="B6" s="75"/>
      <c r="C6" s="73" t="s">
        <v>220</v>
      </c>
      <c r="D6" s="78" t="s">
        <v>60</v>
      </c>
      <c r="E6" s="13">
        <v>44525</v>
      </c>
      <c r="F6" s="76" t="s">
        <v>214</v>
      </c>
      <c r="G6" s="13">
        <v>44531</v>
      </c>
      <c r="H6" s="77" t="s">
        <v>215</v>
      </c>
      <c r="I6" s="16">
        <v>59</v>
      </c>
      <c r="J6" s="16">
        <v>18</v>
      </c>
      <c r="K6" s="16">
        <v>12</v>
      </c>
      <c r="L6" s="16">
        <v>6</v>
      </c>
      <c r="M6" s="81">
        <v>3.1859999999999999</v>
      </c>
      <c r="N6" s="72">
        <v>6</v>
      </c>
      <c r="O6" s="64">
        <v>7000</v>
      </c>
      <c r="P6" s="65">
        <f>Table2245789101123456789101112[[#This Row],[PEMBULATAN]]*O6</f>
        <v>42000</v>
      </c>
    </row>
    <row r="7" spans="1:16" ht="24" customHeight="1" x14ac:dyDescent="0.2">
      <c r="A7" s="14"/>
      <c r="B7" s="75"/>
      <c r="C7" s="73" t="s">
        <v>221</v>
      </c>
      <c r="D7" s="78" t="s">
        <v>60</v>
      </c>
      <c r="E7" s="13">
        <v>44525</v>
      </c>
      <c r="F7" s="76" t="s">
        <v>214</v>
      </c>
      <c r="G7" s="13">
        <v>44531</v>
      </c>
      <c r="H7" s="77" t="s">
        <v>215</v>
      </c>
      <c r="I7" s="16">
        <v>45</v>
      </c>
      <c r="J7" s="16">
        <v>43</v>
      </c>
      <c r="K7" s="16">
        <v>31</v>
      </c>
      <c r="L7" s="16">
        <v>15</v>
      </c>
      <c r="M7" s="81">
        <v>14.99625</v>
      </c>
      <c r="N7" s="72">
        <v>15</v>
      </c>
      <c r="O7" s="64">
        <v>7000</v>
      </c>
      <c r="P7" s="65">
        <f>Table2245789101123456789101112[[#This Row],[PEMBULATAN]]*O7</f>
        <v>105000</v>
      </c>
    </row>
    <row r="8" spans="1:16" ht="24" customHeight="1" x14ac:dyDescent="0.2">
      <c r="A8" s="14"/>
      <c r="B8" s="75"/>
      <c r="C8" s="73" t="s">
        <v>222</v>
      </c>
      <c r="D8" s="78" t="s">
        <v>60</v>
      </c>
      <c r="E8" s="13">
        <v>44525</v>
      </c>
      <c r="F8" s="76" t="s">
        <v>214</v>
      </c>
      <c r="G8" s="13">
        <v>44531</v>
      </c>
      <c r="H8" s="77" t="s">
        <v>215</v>
      </c>
      <c r="I8" s="16">
        <v>53</v>
      </c>
      <c r="J8" s="16">
        <v>58</v>
      </c>
      <c r="K8" s="16">
        <v>35</v>
      </c>
      <c r="L8" s="16">
        <v>30</v>
      </c>
      <c r="M8" s="81">
        <v>26.897500000000001</v>
      </c>
      <c r="N8" s="72">
        <v>30</v>
      </c>
      <c r="O8" s="64">
        <v>7000</v>
      </c>
      <c r="P8" s="65">
        <f>Table2245789101123456789101112[[#This Row],[PEMBULATAN]]*O8</f>
        <v>210000</v>
      </c>
    </row>
    <row r="9" spans="1:16" ht="24" customHeight="1" x14ac:dyDescent="0.2">
      <c r="A9" s="14"/>
      <c r="B9" s="75"/>
      <c r="C9" s="73" t="s">
        <v>223</v>
      </c>
      <c r="D9" s="78" t="s">
        <v>60</v>
      </c>
      <c r="E9" s="13">
        <v>44525</v>
      </c>
      <c r="F9" s="76" t="s">
        <v>214</v>
      </c>
      <c r="G9" s="13">
        <v>44531</v>
      </c>
      <c r="H9" s="77" t="s">
        <v>215</v>
      </c>
      <c r="I9" s="16">
        <v>68</v>
      </c>
      <c r="J9" s="16">
        <v>58</v>
      </c>
      <c r="K9" s="16">
        <v>38</v>
      </c>
      <c r="L9" s="16">
        <v>25</v>
      </c>
      <c r="M9" s="81">
        <v>37.468000000000004</v>
      </c>
      <c r="N9" s="72">
        <v>38</v>
      </c>
      <c r="O9" s="64">
        <v>7000</v>
      </c>
      <c r="P9" s="65">
        <f>Table2245789101123456789101112[[#This Row],[PEMBULATAN]]*O9</f>
        <v>266000</v>
      </c>
    </row>
    <row r="10" spans="1:16" ht="24" customHeight="1" x14ac:dyDescent="0.2">
      <c r="A10" s="14"/>
      <c r="B10" s="75"/>
      <c r="C10" s="73" t="s">
        <v>224</v>
      </c>
      <c r="D10" s="78" t="s">
        <v>60</v>
      </c>
      <c r="E10" s="13">
        <v>44525</v>
      </c>
      <c r="F10" s="76" t="s">
        <v>214</v>
      </c>
      <c r="G10" s="13">
        <v>44531</v>
      </c>
      <c r="H10" s="77" t="s">
        <v>215</v>
      </c>
      <c r="I10" s="16">
        <v>36</v>
      </c>
      <c r="J10" s="16">
        <v>38</v>
      </c>
      <c r="K10" s="16">
        <v>31</v>
      </c>
      <c r="L10" s="16">
        <v>9</v>
      </c>
      <c r="M10" s="81">
        <v>10.602</v>
      </c>
      <c r="N10" s="96">
        <v>10.602</v>
      </c>
      <c r="O10" s="64">
        <v>7000</v>
      </c>
      <c r="P10" s="65">
        <f>Table2245789101123456789101112[[#This Row],[PEMBULATAN]]*O10</f>
        <v>74214</v>
      </c>
    </row>
    <row r="11" spans="1:16" ht="24" customHeight="1" x14ac:dyDescent="0.2">
      <c r="A11" s="14"/>
      <c r="B11" s="75"/>
      <c r="C11" s="73" t="s">
        <v>225</v>
      </c>
      <c r="D11" s="78" t="s">
        <v>60</v>
      </c>
      <c r="E11" s="13">
        <v>44525</v>
      </c>
      <c r="F11" s="76" t="s">
        <v>214</v>
      </c>
      <c r="G11" s="13">
        <v>44531</v>
      </c>
      <c r="H11" s="77" t="s">
        <v>215</v>
      </c>
      <c r="I11" s="16">
        <v>50</v>
      </c>
      <c r="J11" s="16">
        <v>41</v>
      </c>
      <c r="K11" s="16">
        <v>18</v>
      </c>
      <c r="L11" s="16">
        <v>5</v>
      </c>
      <c r="M11" s="81">
        <v>9.2249999999999996</v>
      </c>
      <c r="N11" s="96">
        <v>9.2249999999999996</v>
      </c>
      <c r="O11" s="64">
        <v>7000</v>
      </c>
      <c r="P11" s="65">
        <f>Table2245789101123456789101112[[#This Row],[PEMBULATAN]]*O11</f>
        <v>64575</v>
      </c>
    </row>
    <row r="12" spans="1:16" ht="24" customHeight="1" x14ac:dyDescent="0.2">
      <c r="A12" s="14"/>
      <c r="B12" s="75"/>
      <c r="C12" s="73" t="s">
        <v>226</v>
      </c>
      <c r="D12" s="78" t="s">
        <v>60</v>
      </c>
      <c r="E12" s="13">
        <v>44525</v>
      </c>
      <c r="F12" s="76" t="s">
        <v>214</v>
      </c>
      <c r="G12" s="13">
        <v>44531</v>
      </c>
      <c r="H12" s="77" t="s">
        <v>215</v>
      </c>
      <c r="I12" s="16">
        <v>65</v>
      </c>
      <c r="J12" s="16">
        <v>52</v>
      </c>
      <c r="K12" s="16">
        <v>35</v>
      </c>
      <c r="L12" s="16">
        <v>11</v>
      </c>
      <c r="M12" s="81">
        <v>29.574999999999999</v>
      </c>
      <c r="N12" s="96">
        <v>29.574999999999999</v>
      </c>
      <c r="O12" s="64">
        <v>7000</v>
      </c>
      <c r="P12" s="65">
        <f>Table2245789101123456789101112[[#This Row],[PEMBULATAN]]*O12</f>
        <v>207025</v>
      </c>
    </row>
    <row r="13" spans="1:16" ht="24" customHeight="1" x14ac:dyDescent="0.2">
      <c r="A13" s="14"/>
      <c r="B13" s="75"/>
      <c r="C13" s="73" t="s">
        <v>227</v>
      </c>
      <c r="D13" s="78" t="s">
        <v>60</v>
      </c>
      <c r="E13" s="13">
        <v>44525</v>
      </c>
      <c r="F13" s="76" t="s">
        <v>214</v>
      </c>
      <c r="G13" s="13">
        <v>44531</v>
      </c>
      <c r="H13" s="77" t="s">
        <v>215</v>
      </c>
      <c r="I13" s="16">
        <v>101</v>
      </c>
      <c r="J13" s="16">
        <v>36</v>
      </c>
      <c r="K13" s="16">
        <v>11</v>
      </c>
      <c r="L13" s="16">
        <v>7</v>
      </c>
      <c r="M13" s="81">
        <v>9.9990000000000006</v>
      </c>
      <c r="N13" s="96">
        <v>9.9990000000000006</v>
      </c>
      <c r="O13" s="64">
        <v>7000</v>
      </c>
      <c r="P13" s="65">
        <f>Table2245789101123456789101112[[#This Row],[PEMBULATAN]]*O13</f>
        <v>69993</v>
      </c>
    </row>
    <row r="14" spans="1:16" ht="24" customHeight="1" x14ac:dyDescent="0.2">
      <c r="A14" s="14"/>
      <c r="B14" s="75"/>
      <c r="C14" s="73" t="s">
        <v>228</v>
      </c>
      <c r="D14" s="78" t="s">
        <v>60</v>
      </c>
      <c r="E14" s="13">
        <v>44525</v>
      </c>
      <c r="F14" s="76" t="s">
        <v>214</v>
      </c>
      <c r="G14" s="13">
        <v>44531</v>
      </c>
      <c r="H14" s="77" t="s">
        <v>215</v>
      </c>
      <c r="I14" s="16">
        <v>38</v>
      </c>
      <c r="J14" s="16">
        <v>32</v>
      </c>
      <c r="K14" s="16">
        <v>22</v>
      </c>
      <c r="L14" s="16">
        <v>15</v>
      </c>
      <c r="M14" s="81">
        <v>6.6879999999999997</v>
      </c>
      <c r="N14" s="96">
        <v>15</v>
      </c>
      <c r="O14" s="64">
        <v>7000</v>
      </c>
      <c r="P14" s="65">
        <f>Table2245789101123456789101112[[#This Row],[PEMBULATAN]]*O14</f>
        <v>105000</v>
      </c>
    </row>
    <row r="15" spans="1:16" ht="24" customHeight="1" x14ac:dyDescent="0.2">
      <c r="A15" s="14"/>
      <c r="B15" s="75"/>
      <c r="C15" s="73" t="s">
        <v>229</v>
      </c>
      <c r="D15" s="78" t="s">
        <v>60</v>
      </c>
      <c r="E15" s="13">
        <v>44525</v>
      </c>
      <c r="F15" s="76" t="s">
        <v>214</v>
      </c>
      <c r="G15" s="13">
        <v>44531</v>
      </c>
      <c r="H15" s="77" t="s">
        <v>215</v>
      </c>
      <c r="I15" s="16">
        <v>52</v>
      </c>
      <c r="J15" s="16">
        <v>50</v>
      </c>
      <c r="K15" s="16">
        <v>11</v>
      </c>
      <c r="L15" s="16">
        <v>7</v>
      </c>
      <c r="M15" s="81">
        <v>7.15</v>
      </c>
      <c r="N15" s="96">
        <v>7.15</v>
      </c>
      <c r="O15" s="64">
        <v>7000</v>
      </c>
      <c r="P15" s="65">
        <f>Table2245789101123456789101112[[#This Row],[PEMBULATAN]]*O15</f>
        <v>50050</v>
      </c>
    </row>
    <row r="16" spans="1:16" ht="24" customHeight="1" x14ac:dyDescent="0.2">
      <c r="A16" s="14"/>
      <c r="B16" s="75"/>
      <c r="C16" s="73" t="s">
        <v>230</v>
      </c>
      <c r="D16" s="78" t="s">
        <v>60</v>
      </c>
      <c r="E16" s="13">
        <v>44525</v>
      </c>
      <c r="F16" s="76" t="s">
        <v>214</v>
      </c>
      <c r="G16" s="13">
        <v>44531</v>
      </c>
      <c r="H16" s="77" t="s">
        <v>215</v>
      </c>
      <c r="I16" s="16">
        <v>40</v>
      </c>
      <c r="J16" s="16">
        <v>40</v>
      </c>
      <c r="K16" s="16">
        <v>25</v>
      </c>
      <c r="L16" s="16">
        <v>10</v>
      </c>
      <c r="M16" s="81">
        <v>10</v>
      </c>
      <c r="N16" s="96">
        <v>10</v>
      </c>
      <c r="O16" s="64">
        <v>7000</v>
      </c>
      <c r="P16" s="65">
        <f>Table2245789101123456789101112[[#This Row],[PEMBULATAN]]*O16</f>
        <v>70000</v>
      </c>
    </row>
    <row r="17" spans="1:16" ht="24" customHeight="1" x14ac:dyDescent="0.2">
      <c r="A17" s="14"/>
      <c r="B17" s="75"/>
      <c r="C17" s="73" t="s">
        <v>231</v>
      </c>
      <c r="D17" s="78" t="s">
        <v>60</v>
      </c>
      <c r="E17" s="13">
        <v>44525</v>
      </c>
      <c r="F17" s="76" t="s">
        <v>214</v>
      </c>
      <c r="G17" s="13">
        <v>44531</v>
      </c>
      <c r="H17" s="77" t="s">
        <v>215</v>
      </c>
      <c r="I17" s="16">
        <v>40</v>
      </c>
      <c r="J17" s="16">
        <v>40</v>
      </c>
      <c r="K17" s="16">
        <v>25</v>
      </c>
      <c r="L17" s="16">
        <v>10</v>
      </c>
      <c r="M17" s="81">
        <v>10</v>
      </c>
      <c r="N17" s="96">
        <v>10</v>
      </c>
      <c r="O17" s="64">
        <v>7000</v>
      </c>
      <c r="P17" s="65">
        <f>Table2245789101123456789101112[[#This Row],[PEMBULATAN]]*O17</f>
        <v>70000</v>
      </c>
    </row>
    <row r="18" spans="1:16" ht="24" customHeight="1" x14ac:dyDescent="0.2">
      <c r="A18" s="14"/>
      <c r="B18" s="75"/>
      <c r="C18" s="73" t="s">
        <v>232</v>
      </c>
      <c r="D18" s="78" t="s">
        <v>60</v>
      </c>
      <c r="E18" s="13">
        <v>44525</v>
      </c>
      <c r="F18" s="76" t="s">
        <v>214</v>
      </c>
      <c r="G18" s="13">
        <v>44531</v>
      </c>
      <c r="H18" s="77" t="s">
        <v>215</v>
      </c>
      <c r="I18" s="16">
        <v>52</v>
      </c>
      <c r="J18" s="16">
        <v>21</v>
      </c>
      <c r="K18" s="16">
        <v>15</v>
      </c>
      <c r="L18" s="16">
        <v>5</v>
      </c>
      <c r="M18" s="81">
        <v>4.0949999999999998</v>
      </c>
      <c r="N18" s="96">
        <v>5</v>
      </c>
      <c r="O18" s="64">
        <v>7000</v>
      </c>
      <c r="P18" s="65">
        <f>Table2245789101123456789101112[[#This Row],[PEMBULATAN]]*O18</f>
        <v>35000</v>
      </c>
    </row>
    <row r="19" spans="1:16" ht="24" customHeight="1" x14ac:dyDescent="0.2">
      <c r="A19" s="14"/>
      <c r="B19" s="75"/>
      <c r="C19" s="73" t="s">
        <v>233</v>
      </c>
      <c r="D19" s="78" t="s">
        <v>60</v>
      </c>
      <c r="E19" s="13">
        <v>44525</v>
      </c>
      <c r="F19" s="76" t="s">
        <v>214</v>
      </c>
      <c r="G19" s="13">
        <v>44531</v>
      </c>
      <c r="H19" s="77" t="s">
        <v>215</v>
      </c>
      <c r="I19" s="16">
        <v>37</v>
      </c>
      <c r="J19" s="16">
        <v>22</v>
      </c>
      <c r="K19" s="16">
        <v>15</v>
      </c>
      <c r="L19" s="16">
        <v>28</v>
      </c>
      <c r="M19" s="81">
        <v>3.0525000000000002</v>
      </c>
      <c r="N19" s="96">
        <v>28</v>
      </c>
      <c r="O19" s="64">
        <v>7000</v>
      </c>
      <c r="P19" s="65">
        <f>Table2245789101123456789101112[[#This Row],[PEMBULATAN]]*O19</f>
        <v>196000</v>
      </c>
    </row>
    <row r="20" spans="1:16" ht="24" customHeight="1" x14ac:dyDescent="0.2">
      <c r="A20" s="14"/>
      <c r="B20" s="75"/>
      <c r="C20" s="73" t="s">
        <v>234</v>
      </c>
      <c r="D20" s="78" t="s">
        <v>60</v>
      </c>
      <c r="E20" s="13">
        <v>44525</v>
      </c>
      <c r="F20" s="76" t="s">
        <v>214</v>
      </c>
      <c r="G20" s="13">
        <v>44531</v>
      </c>
      <c r="H20" s="77" t="s">
        <v>215</v>
      </c>
      <c r="I20" s="16">
        <v>68</v>
      </c>
      <c r="J20" s="16">
        <v>45</v>
      </c>
      <c r="K20" s="16">
        <v>31</v>
      </c>
      <c r="L20" s="16">
        <v>18</v>
      </c>
      <c r="M20" s="81">
        <v>23.715</v>
      </c>
      <c r="N20" s="96">
        <v>23.715</v>
      </c>
      <c r="O20" s="64">
        <v>7000</v>
      </c>
      <c r="P20" s="65">
        <f>Table2245789101123456789101112[[#This Row],[PEMBULATAN]]*O20</f>
        <v>166005</v>
      </c>
    </row>
    <row r="21" spans="1:16" ht="24" customHeight="1" x14ac:dyDescent="0.2">
      <c r="A21" s="14"/>
      <c r="B21" s="75"/>
      <c r="C21" s="73" t="s">
        <v>235</v>
      </c>
      <c r="D21" s="78" t="s">
        <v>60</v>
      </c>
      <c r="E21" s="13">
        <v>44525</v>
      </c>
      <c r="F21" s="76" t="s">
        <v>214</v>
      </c>
      <c r="G21" s="13">
        <v>44531</v>
      </c>
      <c r="H21" s="77" t="s">
        <v>215</v>
      </c>
      <c r="I21" s="16">
        <v>158</v>
      </c>
      <c r="J21" s="16">
        <v>41</v>
      </c>
      <c r="K21" s="16">
        <v>25</v>
      </c>
      <c r="L21" s="16">
        <v>10</v>
      </c>
      <c r="M21" s="81">
        <v>40.487499999999997</v>
      </c>
      <c r="N21" s="96">
        <v>41</v>
      </c>
      <c r="O21" s="64">
        <v>7000</v>
      </c>
      <c r="P21" s="65">
        <f>Table2245789101123456789101112[[#This Row],[PEMBULATAN]]*O21</f>
        <v>287000</v>
      </c>
    </row>
    <row r="22" spans="1:16" ht="24" customHeight="1" x14ac:dyDescent="0.2">
      <c r="A22" s="14"/>
      <c r="B22" s="75"/>
      <c r="C22" s="73" t="s">
        <v>236</v>
      </c>
      <c r="D22" s="78" t="s">
        <v>60</v>
      </c>
      <c r="E22" s="13">
        <v>44525</v>
      </c>
      <c r="F22" s="76" t="s">
        <v>214</v>
      </c>
      <c r="G22" s="13">
        <v>44531</v>
      </c>
      <c r="H22" s="77" t="s">
        <v>215</v>
      </c>
      <c r="I22" s="16">
        <v>51</v>
      </c>
      <c r="J22" s="16">
        <v>52</v>
      </c>
      <c r="K22" s="16">
        <v>18</v>
      </c>
      <c r="L22" s="16">
        <v>9</v>
      </c>
      <c r="M22" s="81">
        <v>11.933999999999999</v>
      </c>
      <c r="N22" s="96">
        <v>11.933999999999999</v>
      </c>
      <c r="O22" s="64">
        <v>7000</v>
      </c>
      <c r="P22" s="65">
        <f>Table2245789101123456789101112[[#This Row],[PEMBULATAN]]*O22</f>
        <v>83538</v>
      </c>
    </row>
    <row r="23" spans="1:16" ht="24" customHeight="1" x14ac:dyDescent="0.2">
      <c r="A23" s="14"/>
      <c r="B23" s="75"/>
      <c r="C23" s="73" t="s">
        <v>237</v>
      </c>
      <c r="D23" s="78" t="s">
        <v>60</v>
      </c>
      <c r="E23" s="13">
        <v>44525</v>
      </c>
      <c r="F23" s="76" t="s">
        <v>214</v>
      </c>
      <c r="G23" s="13">
        <v>44531</v>
      </c>
      <c r="H23" s="77" t="s">
        <v>215</v>
      </c>
      <c r="I23" s="16">
        <v>32</v>
      </c>
      <c r="J23" s="16">
        <v>28</v>
      </c>
      <c r="K23" s="16">
        <v>34</v>
      </c>
      <c r="L23" s="16">
        <v>6</v>
      </c>
      <c r="M23" s="81">
        <v>7.6159999999999997</v>
      </c>
      <c r="N23" s="96">
        <v>7.6159999999999997</v>
      </c>
      <c r="O23" s="64">
        <v>7000</v>
      </c>
      <c r="P23" s="65">
        <f>Table2245789101123456789101112[[#This Row],[PEMBULATAN]]*O23</f>
        <v>53312</v>
      </c>
    </row>
    <row r="24" spans="1:16" ht="24" customHeight="1" x14ac:dyDescent="0.2">
      <c r="A24" s="14"/>
      <c r="B24" s="75"/>
      <c r="C24" s="73" t="s">
        <v>238</v>
      </c>
      <c r="D24" s="78" t="s">
        <v>60</v>
      </c>
      <c r="E24" s="13">
        <v>44525</v>
      </c>
      <c r="F24" s="76" t="s">
        <v>214</v>
      </c>
      <c r="G24" s="13">
        <v>44531</v>
      </c>
      <c r="H24" s="77" t="s">
        <v>215</v>
      </c>
      <c r="I24" s="16">
        <v>50</v>
      </c>
      <c r="J24" s="16">
        <v>31</v>
      </c>
      <c r="K24" s="16">
        <v>18</v>
      </c>
      <c r="L24" s="16">
        <v>7</v>
      </c>
      <c r="M24" s="81">
        <v>6.9749999999999996</v>
      </c>
      <c r="N24" s="96">
        <v>7</v>
      </c>
      <c r="O24" s="64">
        <v>7000</v>
      </c>
      <c r="P24" s="65">
        <f>Table2245789101123456789101112[[#This Row],[PEMBULATAN]]*O24</f>
        <v>49000</v>
      </c>
    </row>
    <row r="25" spans="1:16" ht="24" customHeight="1" x14ac:dyDescent="0.2">
      <c r="A25" s="14"/>
      <c r="B25" s="75"/>
      <c r="C25" s="73" t="s">
        <v>239</v>
      </c>
      <c r="D25" s="78" t="s">
        <v>60</v>
      </c>
      <c r="E25" s="13">
        <v>44525</v>
      </c>
      <c r="F25" s="76" t="s">
        <v>214</v>
      </c>
      <c r="G25" s="13">
        <v>44531</v>
      </c>
      <c r="H25" s="77" t="s">
        <v>215</v>
      </c>
      <c r="I25" s="16">
        <v>52</v>
      </c>
      <c r="J25" s="16">
        <v>43</v>
      </c>
      <c r="K25" s="16">
        <v>34</v>
      </c>
      <c r="L25" s="16">
        <v>19</v>
      </c>
      <c r="M25" s="81">
        <v>19.006</v>
      </c>
      <c r="N25" s="96">
        <v>19.006</v>
      </c>
      <c r="O25" s="64">
        <v>7000</v>
      </c>
      <c r="P25" s="65">
        <f>Table2245789101123456789101112[[#This Row],[PEMBULATAN]]*O25</f>
        <v>133042</v>
      </c>
    </row>
    <row r="26" spans="1:16" ht="24" customHeight="1" x14ac:dyDescent="0.2">
      <c r="A26" s="14"/>
      <c r="B26" s="75"/>
      <c r="C26" s="73" t="s">
        <v>240</v>
      </c>
      <c r="D26" s="78" t="s">
        <v>60</v>
      </c>
      <c r="E26" s="13">
        <v>44525</v>
      </c>
      <c r="F26" s="76" t="s">
        <v>214</v>
      </c>
      <c r="G26" s="13">
        <v>44531</v>
      </c>
      <c r="H26" s="77" t="s">
        <v>215</v>
      </c>
      <c r="I26" s="16">
        <v>76</v>
      </c>
      <c r="J26" s="16">
        <v>21</v>
      </c>
      <c r="K26" s="16">
        <v>12</v>
      </c>
      <c r="L26" s="16">
        <v>4</v>
      </c>
      <c r="M26" s="81">
        <v>4.7880000000000003</v>
      </c>
      <c r="N26" s="96">
        <v>4.7880000000000003</v>
      </c>
      <c r="O26" s="64">
        <v>7000</v>
      </c>
      <c r="P26" s="65">
        <f>Table2245789101123456789101112[[#This Row],[PEMBULATAN]]*O26</f>
        <v>33516</v>
      </c>
    </row>
    <row r="27" spans="1:16" ht="24" customHeight="1" x14ac:dyDescent="0.2">
      <c r="A27" s="14"/>
      <c r="B27" s="75"/>
      <c r="C27" s="73" t="s">
        <v>241</v>
      </c>
      <c r="D27" s="78" t="s">
        <v>60</v>
      </c>
      <c r="E27" s="13">
        <v>44525</v>
      </c>
      <c r="F27" s="76" t="s">
        <v>214</v>
      </c>
      <c r="G27" s="13">
        <v>44531</v>
      </c>
      <c r="H27" s="77" t="s">
        <v>215</v>
      </c>
      <c r="I27" s="16">
        <v>31</v>
      </c>
      <c r="J27" s="16">
        <v>33</v>
      </c>
      <c r="K27" s="16">
        <v>24</v>
      </c>
      <c r="L27" s="16">
        <v>6</v>
      </c>
      <c r="M27" s="81">
        <v>6.1379999999999999</v>
      </c>
      <c r="N27" s="96">
        <v>6.1379999999999999</v>
      </c>
      <c r="O27" s="64">
        <v>7000</v>
      </c>
      <c r="P27" s="65">
        <f>Table2245789101123456789101112[[#This Row],[PEMBULATAN]]*O27</f>
        <v>42966</v>
      </c>
    </row>
    <row r="28" spans="1:16" ht="24" customHeight="1" x14ac:dyDescent="0.2">
      <c r="A28" s="14"/>
      <c r="B28" s="75"/>
      <c r="C28" s="73" t="s">
        <v>242</v>
      </c>
      <c r="D28" s="78" t="s">
        <v>60</v>
      </c>
      <c r="E28" s="13">
        <v>44525</v>
      </c>
      <c r="F28" s="76" t="s">
        <v>214</v>
      </c>
      <c r="G28" s="13">
        <v>44531</v>
      </c>
      <c r="H28" s="77" t="s">
        <v>215</v>
      </c>
      <c r="I28" s="16">
        <v>64</v>
      </c>
      <c r="J28" s="16">
        <v>48</v>
      </c>
      <c r="K28" s="16">
        <v>32</v>
      </c>
      <c r="L28" s="16">
        <v>23</v>
      </c>
      <c r="M28" s="81">
        <v>24.576000000000001</v>
      </c>
      <c r="N28" s="96">
        <v>24.576000000000001</v>
      </c>
      <c r="O28" s="64">
        <v>7000</v>
      </c>
      <c r="P28" s="65">
        <f>Table2245789101123456789101112[[#This Row],[PEMBULATAN]]*O28</f>
        <v>172032</v>
      </c>
    </row>
    <row r="29" spans="1:16" ht="24" customHeight="1" x14ac:dyDescent="0.2">
      <c r="A29" s="14"/>
      <c r="B29" s="75"/>
      <c r="C29" s="73" t="s">
        <v>243</v>
      </c>
      <c r="D29" s="78" t="s">
        <v>60</v>
      </c>
      <c r="E29" s="13">
        <v>44525</v>
      </c>
      <c r="F29" s="76" t="s">
        <v>214</v>
      </c>
      <c r="G29" s="13">
        <v>44531</v>
      </c>
      <c r="H29" s="77" t="s">
        <v>215</v>
      </c>
      <c r="I29" s="16">
        <v>55</v>
      </c>
      <c r="J29" s="16">
        <v>48</v>
      </c>
      <c r="K29" s="16">
        <v>31</v>
      </c>
      <c r="L29" s="16">
        <v>12</v>
      </c>
      <c r="M29" s="81">
        <v>20.46</v>
      </c>
      <c r="N29" s="96">
        <v>21</v>
      </c>
      <c r="O29" s="64">
        <v>7000</v>
      </c>
      <c r="P29" s="65">
        <f>Table2245789101123456789101112[[#This Row],[PEMBULATAN]]*O29</f>
        <v>147000</v>
      </c>
    </row>
    <row r="30" spans="1:16" ht="24" customHeight="1" x14ac:dyDescent="0.2">
      <c r="A30" s="14"/>
      <c r="B30" s="99"/>
      <c r="C30" s="73" t="s">
        <v>244</v>
      </c>
      <c r="D30" s="78" t="s">
        <v>60</v>
      </c>
      <c r="E30" s="13">
        <v>44525</v>
      </c>
      <c r="F30" s="76" t="s">
        <v>214</v>
      </c>
      <c r="G30" s="13">
        <v>44531</v>
      </c>
      <c r="H30" s="77" t="s">
        <v>215</v>
      </c>
      <c r="I30" s="16">
        <v>47</v>
      </c>
      <c r="J30" s="16">
        <v>33</v>
      </c>
      <c r="K30" s="16">
        <v>31</v>
      </c>
      <c r="L30" s="16">
        <v>5</v>
      </c>
      <c r="M30" s="81">
        <v>12.020250000000001</v>
      </c>
      <c r="N30" s="96">
        <v>12.020250000000001</v>
      </c>
      <c r="O30" s="64">
        <v>7000</v>
      </c>
      <c r="P30" s="65">
        <f>Table2245789101123456789101112[[#This Row],[PEMBULATAN]]*O30</f>
        <v>84141.75</v>
      </c>
    </row>
    <row r="31" spans="1:16" ht="24" customHeight="1" x14ac:dyDescent="0.2">
      <c r="A31" s="14"/>
      <c r="B31" s="75" t="s">
        <v>245</v>
      </c>
      <c r="C31" s="73" t="s">
        <v>246</v>
      </c>
      <c r="D31" s="78" t="s">
        <v>60</v>
      </c>
      <c r="E31" s="13">
        <v>44525</v>
      </c>
      <c r="F31" s="76" t="s">
        <v>214</v>
      </c>
      <c r="G31" s="13">
        <v>44531</v>
      </c>
      <c r="H31" s="77" t="s">
        <v>215</v>
      </c>
      <c r="I31" s="16">
        <v>54</v>
      </c>
      <c r="J31" s="16">
        <v>31</v>
      </c>
      <c r="K31" s="16">
        <v>12</v>
      </c>
      <c r="L31" s="16">
        <v>4</v>
      </c>
      <c r="M31" s="81">
        <v>5.0220000000000002</v>
      </c>
      <c r="N31" s="96">
        <v>5.0220000000000002</v>
      </c>
      <c r="O31" s="64">
        <v>7000</v>
      </c>
      <c r="P31" s="65">
        <f>Table2245789101123456789101112[[#This Row],[PEMBULATAN]]*O31</f>
        <v>35154</v>
      </c>
    </row>
    <row r="32" spans="1:16" ht="24" customHeight="1" x14ac:dyDescent="0.2">
      <c r="A32" s="14"/>
      <c r="B32" s="75"/>
      <c r="C32" s="73" t="s">
        <v>247</v>
      </c>
      <c r="D32" s="78" t="s">
        <v>60</v>
      </c>
      <c r="E32" s="13">
        <v>44525</v>
      </c>
      <c r="F32" s="76" t="s">
        <v>214</v>
      </c>
      <c r="G32" s="13">
        <v>44531</v>
      </c>
      <c r="H32" s="77" t="s">
        <v>215</v>
      </c>
      <c r="I32" s="16">
        <v>52</v>
      </c>
      <c r="J32" s="16">
        <v>32</v>
      </c>
      <c r="K32" s="16">
        <v>12</v>
      </c>
      <c r="L32" s="16">
        <v>4</v>
      </c>
      <c r="M32" s="81">
        <v>4.992</v>
      </c>
      <c r="N32" s="96">
        <v>4.992</v>
      </c>
      <c r="O32" s="64">
        <v>7000</v>
      </c>
      <c r="P32" s="65">
        <f>Table2245789101123456789101112[[#This Row],[PEMBULATAN]]*O32</f>
        <v>34944</v>
      </c>
    </row>
    <row r="33" spans="1:16" ht="24" customHeight="1" x14ac:dyDescent="0.2">
      <c r="A33" s="14"/>
      <c r="B33" s="75"/>
      <c r="C33" s="73" t="s">
        <v>248</v>
      </c>
      <c r="D33" s="78" t="s">
        <v>60</v>
      </c>
      <c r="E33" s="13">
        <v>44525</v>
      </c>
      <c r="F33" s="76" t="s">
        <v>214</v>
      </c>
      <c r="G33" s="13">
        <v>44531</v>
      </c>
      <c r="H33" s="77" t="s">
        <v>215</v>
      </c>
      <c r="I33" s="16">
        <v>40</v>
      </c>
      <c r="J33" s="16">
        <v>32</v>
      </c>
      <c r="K33" s="16">
        <v>18</v>
      </c>
      <c r="L33" s="16">
        <v>3</v>
      </c>
      <c r="M33" s="81">
        <v>5.76</v>
      </c>
      <c r="N33" s="96">
        <v>5.76</v>
      </c>
      <c r="O33" s="64">
        <v>7000</v>
      </c>
      <c r="P33" s="65">
        <f>Table2245789101123456789101112[[#This Row],[PEMBULATAN]]*O33</f>
        <v>40320</v>
      </c>
    </row>
    <row r="34" spans="1:16" ht="24" customHeight="1" x14ac:dyDescent="0.2">
      <c r="A34" s="14"/>
      <c r="B34" s="75"/>
      <c r="C34" s="73" t="s">
        <v>249</v>
      </c>
      <c r="D34" s="78" t="s">
        <v>60</v>
      </c>
      <c r="E34" s="13">
        <v>44525</v>
      </c>
      <c r="F34" s="76" t="s">
        <v>214</v>
      </c>
      <c r="G34" s="13">
        <v>44531</v>
      </c>
      <c r="H34" s="77" t="s">
        <v>215</v>
      </c>
      <c r="I34" s="16">
        <v>70</v>
      </c>
      <c r="J34" s="16">
        <v>31</v>
      </c>
      <c r="K34" s="16">
        <v>29</v>
      </c>
      <c r="L34" s="16">
        <v>15</v>
      </c>
      <c r="M34" s="81">
        <v>15.7325</v>
      </c>
      <c r="N34" s="96">
        <v>15.7325</v>
      </c>
      <c r="O34" s="64">
        <v>7000</v>
      </c>
      <c r="P34" s="65">
        <f>Table2245789101123456789101112[[#This Row],[PEMBULATAN]]*O34</f>
        <v>110127.5</v>
      </c>
    </row>
    <row r="35" spans="1:16" ht="24" customHeight="1" x14ac:dyDescent="0.2">
      <c r="A35" s="14"/>
      <c r="B35" s="99"/>
      <c r="C35" s="73" t="s">
        <v>250</v>
      </c>
      <c r="D35" s="78" t="s">
        <v>60</v>
      </c>
      <c r="E35" s="13">
        <v>44525</v>
      </c>
      <c r="F35" s="76" t="s">
        <v>214</v>
      </c>
      <c r="G35" s="13">
        <v>44531</v>
      </c>
      <c r="H35" s="77" t="s">
        <v>215</v>
      </c>
      <c r="I35" s="16">
        <v>65</v>
      </c>
      <c r="J35" s="16">
        <v>51</v>
      </c>
      <c r="K35" s="16">
        <v>38</v>
      </c>
      <c r="L35" s="16">
        <v>21</v>
      </c>
      <c r="M35" s="81">
        <v>31.4925</v>
      </c>
      <c r="N35" s="96">
        <v>32</v>
      </c>
      <c r="O35" s="64">
        <v>7000</v>
      </c>
      <c r="P35" s="65">
        <f>Table2245789101123456789101112[[#This Row],[PEMBULATAN]]*O35</f>
        <v>224000</v>
      </c>
    </row>
    <row r="36" spans="1:16" ht="24" customHeight="1" x14ac:dyDescent="0.2">
      <c r="A36" s="14"/>
      <c r="B36" s="75" t="s">
        <v>251</v>
      </c>
      <c r="C36" s="73" t="s">
        <v>252</v>
      </c>
      <c r="D36" s="78" t="s">
        <v>60</v>
      </c>
      <c r="E36" s="13">
        <v>44525</v>
      </c>
      <c r="F36" s="76" t="s">
        <v>214</v>
      </c>
      <c r="G36" s="13">
        <v>44531</v>
      </c>
      <c r="H36" s="77" t="s">
        <v>215</v>
      </c>
      <c r="I36" s="16">
        <v>43</v>
      </c>
      <c r="J36" s="16">
        <v>33</v>
      </c>
      <c r="K36" s="16">
        <v>29</v>
      </c>
      <c r="L36" s="16">
        <v>9</v>
      </c>
      <c r="M36" s="81">
        <v>10.287750000000001</v>
      </c>
      <c r="N36" s="96">
        <v>10.287750000000001</v>
      </c>
      <c r="O36" s="64">
        <v>7000</v>
      </c>
      <c r="P36" s="65">
        <f>Table2245789101123456789101112[[#This Row],[PEMBULATAN]]*O36</f>
        <v>72014.25</v>
      </c>
    </row>
    <row r="37" spans="1:16" ht="24" customHeight="1" x14ac:dyDescent="0.2">
      <c r="A37" s="14"/>
      <c r="B37" s="75"/>
      <c r="C37" s="73" t="s">
        <v>253</v>
      </c>
      <c r="D37" s="78" t="s">
        <v>60</v>
      </c>
      <c r="E37" s="13">
        <v>44525</v>
      </c>
      <c r="F37" s="76" t="s">
        <v>214</v>
      </c>
      <c r="G37" s="13">
        <v>44531</v>
      </c>
      <c r="H37" s="77" t="s">
        <v>215</v>
      </c>
      <c r="I37" s="16">
        <v>35</v>
      </c>
      <c r="J37" s="16">
        <v>35</v>
      </c>
      <c r="K37" s="16">
        <v>18</v>
      </c>
      <c r="L37" s="16">
        <v>12</v>
      </c>
      <c r="M37" s="81">
        <v>5.5125000000000002</v>
      </c>
      <c r="N37" s="96">
        <v>12</v>
      </c>
      <c r="O37" s="64">
        <v>7000</v>
      </c>
      <c r="P37" s="65">
        <f>Table2245789101123456789101112[[#This Row],[PEMBULATAN]]*O37</f>
        <v>84000</v>
      </c>
    </row>
    <row r="38" spans="1:16" ht="24" customHeight="1" x14ac:dyDescent="0.2">
      <c r="A38" s="14"/>
      <c r="B38" s="75"/>
      <c r="C38" s="73" t="s">
        <v>254</v>
      </c>
      <c r="D38" s="78" t="s">
        <v>60</v>
      </c>
      <c r="E38" s="13">
        <v>44525</v>
      </c>
      <c r="F38" s="76" t="s">
        <v>214</v>
      </c>
      <c r="G38" s="13">
        <v>44531</v>
      </c>
      <c r="H38" s="77" t="s">
        <v>215</v>
      </c>
      <c r="I38" s="16">
        <v>44</v>
      </c>
      <c r="J38" s="16">
        <v>31</v>
      </c>
      <c r="K38" s="16">
        <v>38</v>
      </c>
      <c r="L38" s="16">
        <v>4</v>
      </c>
      <c r="M38" s="81">
        <v>12.958</v>
      </c>
      <c r="N38" s="96">
        <v>12.958</v>
      </c>
      <c r="O38" s="64">
        <v>7000</v>
      </c>
      <c r="P38" s="65">
        <f>Table2245789101123456789101112[[#This Row],[PEMBULATAN]]*O38</f>
        <v>90706</v>
      </c>
    </row>
    <row r="39" spans="1:16" ht="24" customHeight="1" x14ac:dyDescent="0.2">
      <c r="A39" s="14"/>
      <c r="B39" s="75"/>
      <c r="C39" s="73" t="s">
        <v>255</v>
      </c>
      <c r="D39" s="78" t="s">
        <v>60</v>
      </c>
      <c r="E39" s="13">
        <v>44525</v>
      </c>
      <c r="F39" s="76" t="s">
        <v>214</v>
      </c>
      <c r="G39" s="13">
        <v>44531</v>
      </c>
      <c r="H39" s="77" t="s">
        <v>215</v>
      </c>
      <c r="I39" s="16">
        <v>45</v>
      </c>
      <c r="J39" s="16">
        <v>22</v>
      </c>
      <c r="K39" s="16">
        <v>21</v>
      </c>
      <c r="L39" s="16">
        <v>11</v>
      </c>
      <c r="M39" s="81">
        <v>5.1974999999999998</v>
      </c>
      <c r="N39" s="96">
        <v>11</v>
      </c>
      <c r="O39" s="64">
        <v>7000</v>
      </c>
      <c r="P39" s="65">
        <f>Table2245789101123456789101112[[#This Row],[PEMBULATAN]]*O39</f>
        <v>77000</v>
      </c>
    </row>
    <row r="40" spans="1:16" ht="24" customHeight="1" x14ac:dyDescent="0.2">
      <c r="A40" s="14"/>
      <c r="B40" s="75"/>
      <c r="C40" s="73" t="s">
        <v>256</v>
      </c>
      <c r="D40" s="78" t="s">
        <v>60</v>
      </c>
      <c r="E40" s="13">
        <v>44525</v>
      </c>
      <c r="F40" s="76" t="s">
        <v>214</v>
      </c>
      <c r="G40" s="13">
        <v>44531</v>
      </c>
      <c r="H40" s="77" t="s">
        <v>215</v>
      </c>
      <c r="I40" s="16">
        <v>32</v>
      </c>
      <c r="J40" s="16">
        <v>22</v>
      </c>
      <c r="K40" s="16">
        <v>18</v>
      </c>
      <c r="L40" s="16">
        <v>8</v>
      </c>
      <c r="M40" s="81">
        <v>3.1680000000000001</v>
      </c>
      <c r="N40" s="96">
        <v>8</v>
      </c>
      <c r="O40" s="64">
        <v>7000</v>
      </c>
      <c r="P40" s="65">
        <f>Table2245789101123456789101112[[#This Row],[PEMBULATAN]]*O40</f>
        <v>56000</v>
      </c>
    </row>
    <row r="41" spans="1:16" ht="24" customHeight="1" x14ac:dyDescent="0.2">
      <c r="A41" s="14"/>
      <c r="B41" s="75"/>
      <c r="C41" s="73" t="s">
        <v>257</v>
      </c>
      <c r="D41" s="78" t="s">
        <v>60</v>
      </c>
      <c r="E41" s="13">
        <v>44525</v>
      </c>
      <c r="F41" s="76" t="s">
        <v>214</v>
      </c>
      <c r="G41" s="13">
        <v>44531</v>
      </c>
      <c r="H41" s="77" t="s">
        <v>215</v>
      </c>
      <c r="I41" s="16">
        <v>32</v>
      </c>
      <c r="J41" s="16">
        <v>22</v>
      </c>
      <c r="K41" s="16">
        <v>18</v>
      </c>
      <c r="L41" s="16">
        <v>8</v>
      </c>
      <c r="M41" s="81">
        <v>3.1680000000000001</v>
      </c>
      <c r="N41" s="96">
        <v>8</v>
      </c>
      <c r="O41" s="64">
        <v>7000</v>
      </c>
      <c r="P41" s="65">
        <f>Table2245789101123456789101112[[#This Row],[PEMBULATAN]]*O41</f>
        <v>56000</v>
      </c>
    </row>
    <row r="42" spans="1:16" ht="24" customHeight="1" x14ac:dyDescent="0.2">
      <c r="A42" s="14"/>
      <c r="B42" s="75"/>
      <c r="C42" s="73" t="s">
        <v>258</v>
      </c>
      <c r="D42" s="78" t="s">
        <v>60</v>
      </c>
      <c r="E42" s="13">
        <v>44525</v>
      </c>
      <c r="F42" s="76" t="s">
        <v>214</v>
      </c>
      <c r="G42" s="13">
        <v>44531</v>
      </c>
      <c r="H42" s="77" t="s">
        <v>215</v>
      </c>
      <c r="I42" s="16">
        <v>32</v>
      </c>
      <c r="J42" s="16">
        <v>22</v>
      </c>
      <c r="K42" s="16">
        <v>18</v>
      </c>
      <c r="L42" s="16">
        <v>8</v>
      </c>
      <c r="M42" s="81">
        <v>3.1680000000000001</v>
      </c>
      <c r="N42" s="96">
        <v>8</v>
      </c>
      <c r="O42" s="64">
        <v>7000</v>
      </c>
      <c r="P42" s="65">
        <f>Table2245789101123456789101112[[#This Row],[PEMBULATAN]]*O42</f>
        <v>56000</v>
      </c>
    </row>
    <row r="43" spans="1:16" ht="24" customHeight="1" x14ac:dyDescent="0.2">
      <c r="A43" s="14"/>
      <c r="B43" s="75"/>
      <c r="C43" s="73" t="s">
        <v>259</v>
      </c>
      <c r="D43" s="78" t="s">
        <v>60</v>
      </c>
      <c r="E43" s="13">
        <v>44525</v>
      </c>
      <c r="F43" s="76" t="s">
        <v>214</v>
      </c>
      <c r="G43" s="13">
        <v>44531</v>
      </c>
      <c r="H43" s="77" t="s">
        <v>215</v>
      </c>
      <c r="I43" s="16">
        <v>32</v>
      </c>
      <c r="J43" s="16">
        <v>22</v>
      </c>
      <c r="K43" s="16">
        <v>18</v>
      </c>
      <c r="L43" s="16">
        <v>8</v>
      </c>
      <c r="M43" s="81">
        <v>3.1680000000000001</v>
      </c>
      <c r="N43" s="96">
        <v>8</v>
      </c>
      <c r="O43" s="64">
        <v>7000</v>
      </c>
      <c r="P43" s="65">
        <f>Table2245789101123456789101112[[#This Row],[PEMBULATAN]]*O43</f>
        <v>56000</v>
      </c>
    </row>
    <row r="44" spans="1:16" ht="24" customHeight="1" x14ac:dyDescent="0.2">
      <c r="A44" s="14"/>
      <c r="B44" s="75"/>
      <c r="C44" s="73" t="s">
        <v>260</v>
      </c>
      <c r="D44" s="78" t="s">
        <v>60</v>
      </c>
      <c r="E44" s="13">
        <v>44525</v>
      </c>
      <c r="F44" s="76" t="s">
        <v>214</v>
      </c>
      <c r="G44" s="13">
        <v>44531</v>
      </c>
      <c r="H44" s="77" t="s">
        <v>215</v>
      </c>
      <c r="I44" s="16">
        <v>36</v>
      </c>
      <c r="J44" s="16">
        <v>36</v>
      </c>
      <c r="K44" s="16">
        <v>21</v>
      </c>
      <c r="L44" s="16">
        <v>12</v>
      </c>
      <c r="M44" s="81">
        <v>6.8040000000000003</v>
      </c>
      <c r="N44" s="96">
        <v>12</v>
      </c>
      <c r="O44" s="64">
        <v>7000</v>
      </c>
      <c r="P44" s="65">
        <f>Table2245789101123456789101112[[#This Row],[PEMBULATAN]]*O44</f>
        <v>84000</v>
      </c>
    </row>
    <row r="45" spans="1:16" ht="24" customHeight="1" x14ac:dyDescent="0.2">
      <c r="A45" s="14"/>
      <c r="B45" s="75"/>
      <c r="C45" s="73" t="s">
        <v>261</v>
      </c>
      <c r="D45" s="78" t="s">
        <v>60</v>
      </c>
      <c r="E45" s="13">
        <v>44525</v>
      </c>
      <c r="F45" s="76" t="s">
        <v>214</v>
      </c>
      <c r="G45" s="13">
        <v>44531</v>
      </c>
      <c r="H45" s="77" t="s">
        <v>215</v>
      </c>
      <c r="I45" s="16">
        <v>36</v>
      </c>
      <c r="J45" s="16">
        <v>36</v>
      </c>
      <c r="K45" s="16">
        <v>21</v>
      </c>
      <c r="L45" s="16">
        <v>12</v>
      </c>
      <c r="M45" s="81">
        <v>6.8040000000000003</v>
      </c>
      <c r="N45" s="96">
        <v>12</v>
      </c>
      <c r="O45" s="64">
        <v>7000</v>
      </c>
      <c r="P45" s="65">
        <f>Table2245789101123456789101112[[#This Row],[PEMBULATAN]]*O45</f>
        <v>84000</v>
      </c>
    </row>
    <row r="46" spans="1:16" ht="24" customHeight="1" x14ac:dyDescent="0.2">
      <c r="A46" s="14"/>
      <c r="B46" s="75"/>
      <c r="C46" s="73" t="s">
        <v>262</v>
      </c>
      <c r="D46" s="78" t="s">
        <v>60</v>
      </c>
      <c r="E46" s="13">
        <v>44525</v>
      </c>
      <c r="F46" s="76" t="s">
        <v>214</v>
      </c>
      <c r="G46" s="13">
        <v>44531</v>
      </c>
      <c r="H46" s="77" t="s">
        <v>215</v>
      </c>
      <c r="I46" s="16">
        <v>42</v>
      </c>
      <c r="J46" s="16">
        <v>33</v>
      </c>
      <c r="K46" s="16">
        <v>28</v>
      </c>
      <c r="L46" s="16">
        <v>9</v>
      </c>
      <c r="M46" s="81">
        <v>9.702</v>
      </c>
      <c r="N46" s="96">
        <v>9.702</v>
      </c>
      <c r="O46" s="64">
        <v>7000</v>
      </c>
      <c r="P46" s="65">
        <f>Table2245789101123456789101112[[#This Row],[PEMBULATAN]]*O46</f>
        <v>67914</v>
      </c>
    </row>
    <row r="47" spans="1:16" ht="24" customHeight="1" x14ac:dyDescent="0.2">
      <c r="A47" s="14"/>
      <c r="B47" s="75"/>
      <c r="C47" s="73" t="s">
        <v>263</v>
      </c>
      <c r="D47" s="78" t="s">
        <v>60</v>
      </c>
      <c r="E47" s="13">
        <v>44525</v>
      </c>
      <c r="F47" s="76" t="s">
        <v>214</v>
      </c>
      <c r="G47" s="13">
        <v>44531</v>
      </c>
      <c r="H47" s="77" t="s">
        <v>215</v>
      </c>
      <c r="I47" s="16">
        <v>42</v>
      </c>
      <c r="J47" s="16">
        <v>33</v>
      </c>
      <c r="K47" s="16">
        <v>28</v>
      </c>
      <c r="L47" s="16">
        <v>9</v>
      </c>
      <c r="M47" s="81">
        <v>9.702</v>
      </c>
      <c r="N47" s="96">
        <v>9.702</v>
      </c>
      <c r="O47" s="64">
        <v>7000</v>
      </c>
      <c r="P47" s="65">
        <f>Table2245789101123456789101112[[#This Row],[PEMBULATAN]]*O47</f>
        <v>67914</v>
      </c>
    </row>
    <row r="48" spans="1:16" ht="24" customHeight="1" x14ac:dyDescent="0.2">
      <c r="A48" s="14"/>
      <c r="B48" s="75"/>
      <c r="C48" s="73" t="s">
        <v>264</v>
      </c>
      <c r="D48" s="78" t="s">
        <v>60</v>
      </c>
      <c r="E48" s="13">
        <v>44525</v>
      </c>
      <c r="F48" s="76" t="s">
        <v>214</v>
      </c>
      <c r="G48" s="13">
        <v>44531</v>
      </c>
      <c r="H48" s="77" t="s">
        <v>215</v>
      </c>
      <c r="I48" s="16">
        <v>42</v>
      </c>
      <c r="J48" s="16">
        <v>33</v>
      </c>
      <c r="K48" s="16">
        <v>28</v>
      </c>
      <c r="L48" s="16">
        <v>9</v>
      </c>
      <c r="M48" s="81">
        <v>9.702</v>
      </c>
      <c r="N48" s="96">
        <v>9.702</v>
      </c>
      <c r="O48" s="64">
        <v>7000</v>
      </c>
      <c r="P48" s="65">
        <f>Table2245789101123456789101112[[#This Row],[PEMBULATAN]]*O48</f>
        <v>67914</v>
      </c>
    </row>
    <row r="49" spans="1:16" ht="24" customHeight="1" x14ac:dyDescent="0.2">
      <c r="A49" s="14"/>
      <c r="B49" s="75"/>
      <c r="C49" s="9" t="s">
        <v>265</v>
      </c>
      <c r="D49" s="76" t="s">
        <v>60</v>
      </c>
      <c r="E49" s="13">
        <v>44525</v>
      </c>
      <c r="F49" s="76" t="s">
        <v>214</v>
      </c>
      <c r="G49" s="13">
        <v>44531</v>
      </c>
      <c r="H49" s="10" t="s">
        <v>215</v>
      </c>
      <c r="I49" s="1">
        <v>42</v>
      </c>
      <c r="J49" s="1">
        <v>33</v>
      </c>
      <c r="K49" s="1">
        <v>28</v>
      </c>
      <c r="L49" s="1">
        <v>9</v>
      </c>
      <c r="M49" s="80">
        <v>9.702</v>
      </c>
      <c r="N49" s="96">
        <v>9.702</v>
      </c>
      <c r="O49" s="64">
        <v>7000</v>
      </c>
      <c r="P49" s="65">
        <f>Table2245789101123456789101112[[#This Row],[PEMBULATAN]]*O49</f>
        <v>67914</v>
      </c>
    </row>
    <row r="50" spans="1:16" ht="24" customHeight="1" x14ac:dyDescent="0.2">
      <c r="A50" s="14"/>
      <c r="B50" s="14"/>
      <c r="C50" s="9" t="s">
        <v>266</v>
      </c>
      <c r="D50" s="76" t="s">
        <v>60</v>
      </c>
      <c r="E50" s="13">
        <v>44525</v>
      </c>
      <c r="F50" s="76" t="s">
        <v>214</v>
      </c>
      <c r="G50" s="13">
        <v>44531</v>
      </c>
      <c r="H50" s="10" t="s">
        <v>215</v>
      </c>
      <c r="I50" s="1">
        <v>48</v>
      </c>
      <c r="J50" s="1">
        <v>43</v>
      </c>
      <c r="K50" s="1">
        <v>37</v>
      </c>
      <c r="L50" s="1">
        <v>12</v>
      </c>
      <c r="M50" s="80">
        <v>19.091999999999999</v>
      </c>
      <c r="N50" s="96">
        <v>19.091999999999999</v>
      </c>
      <c r="O50" s="64">
        <v>7000</v>
      </c>
      <c r="P50" s="65">
        <f>Table2245789101123456789101112[[#This Row],[PEMBULATAN]]*O50</f>
        <v>133644</v>
      </c>
    </row>
    <row r="51" spans="1:16" ht="24" customHeight="1" x14ac:dyDescent="0.2">
      <c r="A51" s="14"/>
      <c r="B51" s="14"/>
      <c r="C51" s="73" t="s">
        <v>267</v>
      </c>
      <c r="D51" s="78" t="s">
        <v>60</v>
      </c>
      <c r="E51" s="13">
        <v>44525</v>
      </c>
      <c r="F51" s="76" t="s">
        <v>214</v>
      </c>
      <c r="G51" s="13">
        <v>44531</v>
      </c>
      <c r="H51" s="77" t="s">
        <v>215</v>
      </c>
      <c r="I51" s="16">
        <v>35</v>
      </c>
      <c r="J51" s="16">
        <v>35</v>
      </c>
      <c r="K51" s="16">
        <v>18</v>
      </c>
      <c r="L51" s="16">
        <v>12</v>
      </c>
      <c r="M51" s="81">
        <v>5.5125000000000002</v>
      </c>
      <c r="N51" s="72">
        <v>12</v>
      </c>
      <c r="O51" s="64">
        <v>7000</v>
      </c>
      <c r="P51" s="65">
        <f>Table2245789101123456789101112[[#This Row],[PEMBULATAN]]*O51</f>
        <v>84000</v>
      </c>
    </row>
    <row r="52" spans="1:16" ht="24" customHeight="1" x14ac:dyDescent="0.2">
      <c r="A52" s="14"/>
      <c r="B52" s="14"/>
      <c r="C52" s="73" t="s">
        <v>268</v>
      </c>
      <c r="D52" s="78" t="s">
        <v>60</v>
      </c>
      <c r="E52" s="13">
        <v>44525</v>
      </c>
      <c r="F52" s="76" t="s">
        <v>214</v>
      </c>
      <c r="G52" s="13">
        <v>44531</v>
      </c>
      <c r="H52" s="77" t="s">
        <v>215</v>
      </c>
      <c r="I52" s="16">
        <v>32</v>
      </c>
      <c r="J52" s="16">
        <v>22</v>
      </c>
      <c r="K52" s="16">
        <v>18</v>
      </c>
      <c r="L52" s="16">
        <v>8</v>
      </c>
      <c r="M52" s="81">
        <v>3.1680000000000001</v>
      </c>
      <c r="N52" s="72">
        <v>8</v>
      </c>
      <c r="O52" s="64">
        <v>7000</v>
      </c>
      <c r="P52" s="65">
        <f>Table2245789101123456789101112[[#This Row],[PEMBULATAN]]*O52</f>
        <v>56000</v>
      </c>
    </row>
    <row r="53" spans="1:16" ht="22.5" customHeight="1" x14ac:dyDescent="0.2">
      <c r="A53" s="117" t="s">
        <v>30</v>
      </c>
      <c r="B53" s="118"/>
      <c r="C53" s="118"/>
      <c r="D53" s="118"/>
      <c r="E53" s="118"/>
      <c r="F53" s="118"/>
      <c r="G53" s="118"/>
      <c r="H53" s="118"/>
      <c r="I53" s="118"/>
      <c r="J53" s="118"/>
      <c r="K53" s="118"/>
      <c r="L53" s="119"/>
      <c r="M53" s="79">
        <f>SUBTOTAL(109,Table2245789101123456789101112[KG VOLUME])</f>
        <v>597.10925000000009</v>
      </c>
      <c r="N53" s="68">
        <f>SUM(N3:N52)</f>
        <v>699.99649999999997</v>
      </c>
      <c r="O53" s="120">
        <f>SUM(P3:P52)</f>
        <v>4899975.5</v>
      </c>
      <c r="P53" s="121"/>
    </row>
    <row r="54" spans="1:16" ht="18" customHeight="1" x14ac:dyDescent="0.2">
      <c r="A54" s="86"/>
      <c r="B54" s="56" t="s">
        <v>42</v>
      </c>
      <c r="C54" s="55"/>
      <c r="D54" s="57" t="s">
        <v>43</v>
      </c>
      <c r="E54" s="86"/>
      <c r="F54" s="86"/>
      <c r="G54" s="86"/>
      <c r="H54" s="86"/>
      <c r="I54" s="86"/>
      <c r="J54" s="86"/>
      <c r="K54" s="86"/>
      <c r="L54" s="86"/>
      <c r="M54" s="87"/>
      <c r="N54" s="88" t="s">
        <v>52</v>
      </c>
      <c r="O54" s="89"/>
      <c r="P54" s="89">
        <v>0</v>
      </c>
    </row>
    <row r="55" spans="1:16" ht="18" customHeight="1" thickBot="1" x14ac:dyDescent="0.25">
      <c r="A55" s="86"/>
      <c r="B55" s="56"/>
      <c r="C55" s="55"/>
      <c r="D55" s="57"/>
      <c r="E55" s="86"/>
      <c r="F55" s="86"/>
      <c r="G55" s="86"/>
      <c r="H55" s="86"/>
      <c r="I55" s="86"/>
      <c r="J55" s="86"/>
      <c r="K55" s="86"/>
      <c r="L55" s="86"/>
      <c r="M55" s="87"/>
      <c r="N55" s="90" t="s">
        <v>53</v>
      </c>
      <c r="O55" s="91"/>
      <c r="P55" s="91">
        <f>O53-P54</f>
        <v>4899975.5</v>
      </c>
    </row>
    <row r="56" spans="1:16" ht="18" customHeight="1" x14ac:dyDescent="0.2">
      <c r="A56" s="11"/>
      <c r="H56" s="63"/>
      <c r="N56" s="62" t="s">
        <v>31</v>
      </c>
      <c r="P56" s="69">
        <f>P55*1%</f>
        <v>48999.755000000005</v>
      </c>
    </row>
    <row r="57" spans="1:16" ht="18" customHeight="1" thickBot="1" x14ac:dyDescent="0.25">
      <c r="A57" s="11"/>
      <c r="H57" s="63"/>
      <c r="N57" s="62" t="s">
        <v>54</v>
      </c>
      <c r="P57" s="71">
        <f>P55*2%</f>
        <v>97999.510000000009</v>
      </c>
    </row>
    <row r="58" spans="1:16" ht="18" customHeight="1" x14ac:dyDescent="0.2">
      <c r="A58" s="11"/>
      <c r="H58" s="63"/>
      <c r="N58" s="66" t="s">
        <v>32</v>
      </c>
      <c r="O58" s="67"/>
      <c r="P58" s="70">
        <f>P55+P56-P57</f>
        <v>4850975.7450000001</v>
      </c>
    </row>
    <row r="60" spans="1:16" x14ac:dyDescent="0.2">
      <c r="A60" s="11"/>
      <c r="H60" s="63"/>
      <c r="P60" s="71"/>
    </row>
    <row r="61" spans="1:16" x14ac:dyDescent="0.2">
      <c r="A61" s="11"/>
      <c r="H61" s="63"/>
      <c r="O61" s="58"/>
      <c r="P61" s="71"/>
    </row>
    <row r="62" spans="1:16" s="3" customFormat="1" x14ac:dyDescent="0.25">
      <c r="A62" s="11"/>
      <c r="B62" s="2"/>
      <c r="C62" s="2"/>
      <c r="E62" s="12"/>
      <c r="H62" s="63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3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63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63"/>
      <c r="N65" s="15"/>
      <c r="O65" s="15"/>
      <c r="P65" s="15"/>
    </row>
    <row r="66" spans="1:16" s="3" customFormat="1" x14ac:dyDescent="0.25">
      <c r="A66" s="11"/>
      <c r="B66" s="2"/>
      <c r="C66" s="2"/>
      <c r="E66" s="12"/>
      <c r="H66" s="63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63"/>
      <c r="N67" s="15"/>
      <c r="O67" s="15"/>
      <c r="P67" s="15"/>
    </row>
    <row r="68" spans="1:16" s="3" customFormat="1" x14ac:dyDescent="0.25">
      <c r="A68" s="11"/>
      <c r="B68" s="2"/>
      <c r="C68" s="2"/>
      <c r="E68" s="12"/>
      <c r="H68" s="63"/>
      <c r="N68" s="15"/>
      <c r="O68" s="15"/>
      <c r="P68" s="15"/>
    </row>
    <row r="69" spans="1:16" s="3" customFormat="1" x14ac:dyDescent="0.25">
      <c r="A69" s="11"/>
      <c r="B69" s="2"/>
      <c r="C69" s="2"/>
      <c r="E69" s="12"/>
      <c r="H69" s="63"/>
      <c r="N69" s="15"/>
      <c r="O69" s="15"/>
      <c r="P69" s="15"/>
    </row>
    <row r="70" spans="1:16" s="3" customFormat="1" x14ac:dyDescent="0.25">
      <c r="A70" s="11"/>
      <c r="B70" s="2"/>
      <c r="C70" s="2"/>
      <c r="E70" s="12"/>
      <c r="H70" s="63"/>
      <c r="N70" s="15"/>
      <c r="O70" s="15"/>
      <c r="P70" s="15"/>
    </row>
    <row r="71" spans="1:16" s="3" customFormat="1" x14ac:dyDescent="0.25">
      <c r="A71" s="11"/>
      <c r="B71" s="2"/>
      <c r="C71" s="2"/>
      <c r="E71" s="12"/>
      <c r="H71" s="63"/>
      <c r="N71" s="15"/>
      <c r="O71" s="15"/>
      <c r="P71" s="15"/>
    </row>
    <row r="72" spans="1:16" s="3" customFormat="1" x14ac:dyDescent="0.25">
      <c r="A72" s="11"/>
      <c r="B72" s="2"/>
      <c r="C72" s="2"/>
      <c r="E72" s="12"/>
      <c r="H72" s="63"/>
      <c r="N72" s="15"/>
      <c r="O72" s="15"/>
      <c r="P72" s="15"/>
    </row>
    <row r="73" spans="1:16" s="3" customFormat="1" x14ac:dyDescent="0.25">
      <c r="A73" s="11"/>
      <c r="B73" s="2"/>
      <c r="C73" s="2"/>
      <c r="E73" s="12"/>
      <c r="H73" s="63"/>
      <c r="N73" s="15"/>
      <c r="O73" s="15"/>
      <c r="P73" s="15"/>
    </row>
  </sheetData>
  <mergeCells count="2">
    <mergeCell ref="A53:L53"/>
    <mergeCell ref="O53:P53"/>
  </mergeCells>
  <conditionalFormatting sqref="B3:B48">
    <cfRule type="duplicateValues" dxfId="247" priority="2"/>
  </conditionalFormatting>
  <conditionalFormatting sqref="B49">
    <cfRule type="duplicateValues" dxfId="246" priority="1"/>
  </conditionalFormatting>
  <conditionalFormatting sqref="B50:B52">
    <cfRule type="duplicateValues" dxfId="245" priority="1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6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10" sqref="H1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404040</v>
      </c>
      <c r="B3" s="74" t="s">
        <v>269</v>
      </c>
      <c r="C3" s="9" t="s">
        <v>270</v>
      </c>
      <c r="D3" s="76" t="s">
        <v>60</v>
      </c>
      <c r="E3" s="13">
        <v>44526</v>
      </c>
      <c r="F3" s="76" t="s">
        <v>214</v>
      </c>
      <c r="G3" s="13">
        <v>44531</v>
      </c>
      <c r="H3" s="10" t="s">
        <v>215</v>
      </c>
      <c r="I3" s="1">
        <v>28</v>
      </c>
      <c r="J3" s="1">
        <v>27</v>
      </c>
      <c r="K3" s="1">
        <v>15</v>
      </c>
      <c r="L3" s="1">
        <v>5</v>
      </c>
      <c r="M3" s="80">
        <v>2.835</v>
      </c>
      <c r="N3" s="8">
        <v>5</v>
      </c>
      <c r="O3" s="64">
        <v>7000</v>
      </c>
      <c r="P3" s="65">
        <f>Table224578910112345678910111213[[#This Row],[PEMBULATAN]]*O3</f>
        <v>35000</v>
      </c>
    </row>
    <row r="4" spans="1:16" ht="26.25" customHeight="1" x14ac:dyDescent="0.2">
      <c r="A4" s="14"/>
      <c r="B4" s="99"/>
      <c r="C4" s="9" t="s">
        <v>271</v>
      </c>
      <c r="D4" s="76" t="s">
        <v>60</v>
      </c>
      <c r="E4" s="13">
        <v>44526</v>
      </c>
      <c r="F4" s="76" t="s">
        <v>214</v>
      </c>
      <c r="G4" s="13">
        <v>44531</v>
      </c>
      <c r="H4" s="10" t="s">
        <v>215</v>
      </c>
      <c r="I4" s="1">
        <v>41</v>
      </c>
      <c r="J4" s="1">
        <v>35</v>
      </c>
      <c r="K4" s="1">
        <v>34</v>
      </c>
      <c r="L4" s="1">
        <v>10</v>
      </c>
      <c r="M4" s="80">
        <v>12.1975</v>
      </c>
      <c r="N4" s="96">
        <v>12.1975</v>
      </c>
      <c r="O4" s="64">
        <v>7000</v>
      </c>
      <c r="P4" s="65">
        <f>Table224578910112345678910111213[[#This Row],[PEMBULATAN]]*O4</f>
        <v>85382.5</v>
      </c>
    </row>
    <row r="5" spans="1:16" ht="26.25" customHeight="1" x14ac:dyDescent="0.2">
      <c r="A5" s="14"/>
      <c r="B5" s="14" t="s">
        <v>272</v>
      </c>
      <c r="C5" s="9" t="s">
        <v>273</v>
      </c>
      <c r="D5" s="76" t="s">
        <v>60</v>
      </c>
      <c r="E5" s="13">
        <v>44526</v>
      </c>
      <c r="F5" s="76" t="s">
        <v>214</v>
      </c>
      <c r="G5" s="13">
        <v>44531</v>
      </c>
      <c r="H5" s="10" t="s">
        <v>215</v>
      </c>
      <c r="I5" s="1">
        <v>37</v>
      </c>
      <c r="J5" s="1">
        <v>37</v>
      </c>
      <c r="K5" s="1">
        <v>30</v>
      </c>
      <c r="L5" s="1">
        <v>9</v>
      </c>
      <c r="M5" s="80">
        <v>10.2675</v>
      </c>
      <c r="N5" s="96">
        <v>10.2675</v>
      </c>
      <c r="O5" s="64">
        <v>7000</v>
      </c>
      <c r="P5" s="65">
        <f>Table224578910112345678910111213[[#This Row],[PEMBULATAN]]*O5</f>
        <v>71872.5</v>
      </c>
    </row>
    <row r="6" spans="1:16" ht="22.5" customHeight="1" x14ac:dyDescent="0.2">
      <c r="A6" s="117" t="s">
        <v>30</v>
      </c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9"/>
      <c r="M6" s="79">
        <f>SUBTOTAL(109,Table224578910112345678910111213[KG VOLUME])</f>
        <v>25.299999999999997</v>
      </c>
      <c r="N6" s="68">
        <f>SUM(N3:N5)</f>
        <v>27.464999999999996</v>
      </c>
      <c r="O6" s="120">
        <f>SUM(P3:P5)</f>
        <v>192255</v>
      </c>
      <c r="P6" s="121"/>
    </row>
    <row r="7" spans="1:16" ht="18" customHeight="1" x14ac:dyDescent="0.2">
      <c r="A7" s="86"/>
      <c r="B7" s="56" t="s">
        <v>42</v>
      </c>
      <c r="C7" s="55"/>
      <c r="D7" s="57" t="s">
        <v>43</v>
      </c>
      <c r="E7" s="86"/>
      <c r="F7" s="86"/>
      <c r="G7" s="86"/>
      <c r="H7" s="86"/>
      <c r="I7" s="86"/>
      <c r="J7" s="86"/>
      <c r="K7" s="86"/>
      <c r="L7" s="86"/>
      <c r="M7" s="87"/>
      <c r="N7" s="88" t="s">
        <v>52</v>
      </c>
      <c r="O7" s="89"/>
      <c r="P7" s="89">
        <v>0</v>
      </c>
    </row>
    <row r="8" spans="1:16" ht="18" customHeight="1" thickBot="1" x14ac:dyDescent="0.25">
      <c r="A8" s="86"/>
      <c r="B8" s="56"/>
      <c r="C8" s="55"/>
      <c r="D8" s="57"/>
      <c r="E8" s="86"/>
      <c r="F8" s="86"/>
      <c r="G8" s="86"/>
      <c r="H8" s="86"/>
      <c r="I8" s="86"/>
      <c r="J8" s="86"/>
      <c r="K8" s="86"/>
      <c r="L8" s="86"/>
      <c r="M8" s="87"/>
      <c r="N8" s="90" t="s">
        <v>53</v>
      </c>
      <c r="O8" s="91"/>
      <c r="P8" s="91">
        <f>O6-P7</f>
        <v>192255</v>
      </c>
    </row>
    <row r="9" spans="1:16" ht="18" customHeight="1" x14ac:dyDescent="0.2">
      <c r="A9" s="11"/>
      <c r="H9" s="63"/>
      <c r="N9" s="62" t="s">
        <v>31</v>
      </c>
      <c r="P9" s="69">
        <f>P8*1%</f>
        <v>1922.55</v>
      </c>
    </row>
    <row r="10" spans="1:16" ht="18" customHeight="1" thickBot="1" x14ac:dyDescent="0.25">
      <c r="A10" s="11"/>
      <c r="H10" s="63"/>
      <c r="N10" s="62" t="s">
        <v>54</v>
      </c>
      <c r="P10" s="71">
        <f>P8*2%</f>
        <v>3845.1</v>
      </c>
    </row>
    <row r="11" spans="1:16" ht="18" customHeight="1" x14ac:dyDescent="0.2">
      <c r="A11" s="11"/>
      <c r="H11" s="63"/>
      <c r="N11" s="66" t="s">
        <v>32</v>
      </c>
      <c r="O11" s="67"/>
      <c r="P11" s="70">
        <f>P8+P9-P10</f>
        <v>190332.44999999998</v>
      </c>
    </row>
    <row r="13" spans="1:16" x14ac:dyDescent="0.2">
      <c r="A13" s="11"/>
      <c r="H13" s="63"/>
      <c r="P13" s="71"/>
    </row>
    <row r="14" spans="1:16" x14ac:dyDescent="0.2">
      <c r="A14" s="11"/>
      <c r="H14" s="63"/>
      <c r="O14" s="58"/>
      <c r="P14" s="71"/>
    </row>
    <row r="15" spans="1:16" s="3" customFormat="1" x14ac:dyDescent="0.25">
      <c r="A15" s="11"/>
      <c r="B15" s="2"/>
      <c r="C15" s="2"/>
      <c r="E15" s="12"/>
      <c r="H15" s="63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</sheetData>
  <mergeCells count="2">
    <mergeCell ref="A6:L6"/>
    <mergeCell ref="O6:P6"/>
  </mergeCells>
  <conditionalFormatting sqref="B3">
    <cfRule type="duplicateValues" dxfId="229" priority="2"/>
  </conditionalFormatting>
  <conditionalFormatting sqref="B4">
    <cfRule type="duplicateValues" dxfId="228" priority="1"/>
  </conditionalFormatting>
  <conditionalFormatting sqref="B5">
    <cfRule type="duplicateValues" dxfId="227" priority="1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4"/>
  <sheetViews>
    <sheetView zoomScale="110" zoomScaleNormal="110" workbookViewId="0">
      <pane xSplit="3" ySplit="2" topLeftCell="D26" activePane="bottomRight" state="frozen"/>
      <selection pane="topRight" activeCell="B1" sqref="B1"/>
      <selection pane="bottomLeft" activeCell="A3" sqref="A3"/>
      <selection pane="bottomRight" activeCell="O35" sqref="O3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403710</v>
      </c>
      <c r="B3" s="74" t="s">
        <v>274</v>
      </c>
      <c r="C3" s="9" t="s">
        <v>275</v>
      </c>
      <c r="D3" s="76" t="s">
        <v>60</v>
      </c>
      <c r="E3" s="13">
        <v>44526</v>
      </c>
      <c r="F3" s="76" t="s">
        <v>214</v>
      </c>
      <c r="G3" s="13">
        <v>44531</v>
      </c>
      <c r="H3" s="10" t="s">
        <v>215</v>
      </c>
      <c r="I3" s="1">
        <v>43</v>
      </c>
      <c r="J3" s="1">
        <v>43</v>
      </c>
      <c r="K3" s="1">
        <v>43</v>
      </c>
      <c r="L3" s="1">
        <v>8</v>
      </c>
      <c r="M3" s="80">
        <v>19.876750000000001</v>
      </c>
      <c r="N3" s="96">
        <v>19.876750000000001</v>
      </c>
      <c r="O3" s="64">
        <v>7000</v>
      </c>
      <c r="P3" s="65">
        <f>Table22457891011234567891011121314[[#This Row],[PEMBULATAN]]*O3</f>
        <v>139137.25</v>
      </c>
    </row>
    <row r="4" spans="1:16" ht="26.25" customHeight="1" x14ac:dyDescent="0.2">
      <c r="A4" s="14"/>
      <c r="B4" s="75"/>
      <c r="C4" s="9" t="s">
        <v>276</v>
      </c>
      <c r="D4" s="76" t="s">
        <v>60</v>
      </c>
      <c r="E4" s="13">
        <v>44526</v>
      </c>
      <c r="F4" s="76" t="s">
        <v>214</v>
      </c>
      <c r="G4" s="13">
        <v>44531</v>
      </c>
      <c r="H4" s="10" t="s">
        <v>215</v>
      </c>
      <c r="I4" s="1">
        <v>94</v>
      </c>
      <c r="J4" s="1">
        <v>33</v>
      </c>
      <c r="K4" s="1">
        <v>45</v>
      </c>
      <c r="L4" s="1">
        <v>20</v>
      </c>
      <c r="M4" s="80">
        <v>34.897500000000001</v>
      </c>
      <c r="N4" s="96">
        <v>34.897500000000001</v>
      </c>
      <c r="O4" s="64">
        <v>7000</v>
      </c>
      <c r="P4" s="65">
        <f>Table22457891011234567891011121314[[#This Row],[PEMBULATAN]]*O4</f>
        <v>244282.5</v>
      </c>
    </row>
    <row r="5" spans="1:16" ht="26.25" customHeight="1" x14ac:dyDescent="0.2">
      <c r="A5" s="14"/>
      <c r="B5" s="14"/>
      <c r="C5" s="9" t="s">
        <v>277</v>
      </c>
      <c r="D5" s="76" t="s">
        <v>60</v>
      </c>
      <c r="E5" s="13">
        <v>44526</v>
      </c>
      <c r="F5" s="76" t="s">
        <v>214</v>
      </c>
      <c r="G5" s="13">
        <v>44531</v>
      </c>
      <c r="H5" s="10" t="s">
        <v>215</v>
      </c>
      <c r="I5" s="1">
        <v>45</v>
      </c>
      <c r="J5" s="1">
        <v>45</v>
      </c>
      <c r="K5" s="1">
        <v>23</v>
      </c>
      <c r="L5" s="1">
        <v>16</v>
      </c>
      <c r="M5" s="80">
        <v>11.643750000000001</v>
      </c>
      <c r="N5" s="96">
        <v>16</v>
      </c>
      <c r="O5" s="64">
        <v>7000</v>
      </c>
      <c r="P5" s="65">
        <f>Table22457891011234567891011121314[[#This Row],[PEMBULATAN]]*O5</f>
        <v>112000</v>
      </c>
    </row>
    <row r="6" spans="1:16" ht="26.25" customHeight="1" x14ac:dyDescent="0.2">
      <c r="A6" s="14"/>
      <c r="B6" s="14"/>
      <c r="C6" s="73" t="s">
        <v>278</v>
      </c>
      <c r="D6" s="78" t="s">
        <v>60</v>
      </c>
      <c r="E6" s="13">
        <v>44526</v>
      </c>
      <c r="F6" s="76" t="s">
        <v>214</v>
      </c>
      <c r="G6" s="13">
        <v>44531</v>
      </c>
      <c r="H6" s="77" t="s">
        <v>215</v>
      </c>
      <c r="I6" s="16">
        <v>60</v>
      </c>
      <c r="J6" s="16">
        <v>45</v>
      </c>
      <c r="K6" s="16">
        <v>36</v>
      </c>
      <c r="L6" s="16">
        <v>11</v>
      </c>
      <c r="M6" s="81">
        <v>24.3</v>
      </c>
      <c r="N6" s="96">
        <v>25</v>
      </c>
      <c r="O6" s="64">
        <v>7000</v>
      </c>
      <c r="P6" s="65">
        <f>Table22457891011234567891011121314[[#This Row],[PEMBULATAN]]*O6</f>
        <v>175000</v>
      </c>
    </row>
    <row r="7" spans="1:16" ht="26.25" customHeight="1" x14ac:dyDescent="0.2">
      <c r="A7" s="14"/>
      <c r="B7" s="14"/>
      <c r="C7" s="73" t="s">
        <v>279</v>
      </c>
      <c r="D7" s="78" t="s">
        <v>60</v>
      </c>
      <c r="E7" s="13">
        <v>44526</v>
      </c>
      <c r="F7" s="76" t="s">
        <v>214</v>
      </c>
      <c r="G7" s="13">
        <v>44531</v>
      </c>
      <c r="H7" s="77" t="s">
        <v>215</v>
      </c>
      <c r="I7" s="16">
        <v>72</v>
      </c>
      <c r="J7" s="16">
        <v>40</v>
      </c>
      <c r="K7" s="16">
        <v>30</v>
      </c>
      <c r="L7" s="16">
        <v>10</v>
      </c>
      <c r="M7" s="81">
        <v>21.6</v>
      </c>
      <c r="N7" s="96">
        <v>21.6</v>
      </c>
      <c r="O7" s="64">
        <v>7000</v>
      </c>
      <c r="P7" s="65">
        <f>Table22457891011234567891011121314[[#This Row],[PEMBULATAN]]*O7</f>
        <v>151200</v>
      </c>
    </row>
    <row r="8" spans="1:16" ht="26.25" customHeight="1" x14ac:dyDescent="0.2">
      <c r="A8" s="14"/>
      <c r="B8" s="14"/>
      <c r="C8" s="73" t="s">
        <v>280</v>
      </c>
      <c r="D8" s="78" t="s">
        <v>60</v>
      </c>
      <c r="E8" s="13">
        <v>44526</v>
      </c>
      <c r="F8" s="76" t="s">
        <v>214</v>
      </c>
      <c r="G8" s="13">
        <v>44531</v>
      </c>
      <c r="H8" s="77" t="s">
        <v>215</v>
      </c>
      <c r="I8" s="16">
        <v>76</v>
      </c>
      <c r="J8" s="16">
        <v>67</v>
      </c>
      <c r="K8" s="16">
        <v>40</v>
      </c>
      <c r="L8" s="16">
        <v>20</v>
      </c>
      <c r="M8" s="81">
        <v>50.92</v>
      </c>
      <c r="N8" s="96">
        <v>50.92</v>
      </c>
      <c r="O8" s="64">
        <v>7000</v>
      </c>
      <c r="P8" s="65">
        <f>Table22457891011234567891011121314[[#This Row],[PEMBULATAN]]*O8</f>
        <v>356440</v>
      </c>
    </row>
    <row r="9" spans="1:16" ht="26.25" customHeight="1" x14ac:dyDescent="0.2">
      <c r="A9" s="14"/>
      <c r="B9" s="14"/>
      <c r="C9" s="73" t="s">
        <v>281</v>
      </c>
      <c r="D9" s="78" t="s">
        <v>60</v>
      </c>
      <c r="E9" s="13">
        <v>44526</v>
      </c>
      <c r="F9" s="76" t="s">
        <v>214</v>
      </c>
      <c r="G9" s="13">
        <v>44531</v>
      </c>
      <c r="H9" s="77" t="s">
        <v>215</v>
      </c>
      <c r="I9" s="16">
        <v>79</v>
      </c>
      <c r="J9" s="16">
        <v>20</v>
      </c>
      <c r="K9" s="16">
        <v>16</v>
      </c>
      <c r="L9" s="16">
        <v>10</v>
      </c>
      <c r="M9" s="81">
        <v>6.32</v>
      </c>
      <c r="N9" s="96">
        <v>11</v>
      </c>
      <c r="O9" s="64">
        <v>7000</v>
      </c>
      <c r="P9" s="65">
        <f>Table22457891011234567891011121314[[#This Row],[PEMBULATAN]]*O9</f>
        <v>77000</v>
      </c>
    </row>
    <row r="10" spans="1:16" ht="26.25" customHeight="1" x14ac:dyDescent="0.2">
      <c r="A10" s="14"/>
      <c r="B10" s="14"/>
      <c r="C10" s="73" t="s">
        <v>282</v>
      </c>
      <c r="D10" s="78" t="s">
        <v>60</v>
      </c>
      <c r="E10" s="13">
        <v>44526</v>
      </c>
      <c r="F10" s="76" t="s">
        <v>214</v>
      </c>
      <c r="G10" s="13">
        <v>44531</v>
      </c>
      <c r="H10" s="77" t="s">
        <v>215</v>
      </c>
      <c r="I10" s="16">
        <v>94</v>
      </c>
      <c r="J10" s="16">
        <v>64</v>
      </c>
      <c r="K10" s="16">
        <v>37</v>
      </c>
      <c r="L10" s="16">
        <v>10</v>
      </c>
      <c r="M10" s="81">
        <v>55.648000000000003</v>
      </c>
      <c r="N10" s="96">
        <v>55.648000000000003</v>
      </c>
      <c r="O10" s="64">
        <v>7000</v>
      </c>
      <c r="P10" s="65">
        <f>Table22457891011234567891011121314[[#This Row],[PEMBULATAN]]*O10</f>
        <v>389536</v>
      </c>
    </row>
    <row r="11" spans="1:16" ht="26.25" customHeight="1" x14ac:dyDescent="0.2">
      <c r="A11" s="14"/>
      <c r="B11" s="14"/>
      <c r="C11" s="73" t="s">
        <v>283</v>
      </c>
      <c r="D11" s="78" t="s">
        <v>60</v>
      </c>
      <c r="E11" s="13">
        <v>44526</v>
      </c>
      <c r="F11" s="76" t="s">
        <v>214</v>
      </c>
      <c r="G11" s="13">
        <v>44531</v>
      </c>
      <c r="H11" s="77" t="s">
        <v>215</v>
      </c>
      <c r="I11" s="16">
        <v>42</v>
      </c>
      <c r="J11" s="16">
        <v>22</v>
      </c>
      <c r="K11" s="16">
        <v>22</v>
      </c>
      <c r="L11" s="16">
        <v>8</v>
      </c>
      <c r="M11" s="81">
        <v>5.0819999999999999</v>
      </c>
      <c r="N11" s="96">
        <v>8</v>
      </c>
      <c r="O11" s="64">
        <v>7000</v>
      </c>
      <c r="P11" s="65">
        <f>Table22457891011234567891011121314[[#This Row],[PEMBULATAN]]*O11</f>
        <v>56000</v>
      </c>
    </row>
    <row r="12" spans="1:16" ht="26.25" customHeight="1" x14ac:dyDescent="0.2">
      <c r="A12" s="14"/>
      <c r="B12" s="14"/>
      <c r="C12" s="73" t="s">
        <v>284</v>
      </c>
      <c r="D12" s="78" t="s">
        <v>60</v>
      </c>
      <c r="E12" s="13">
        <v>44526</v>
      </c>
      <c r="F12" s="76" t="s">
        <v>214</v>
      </c>
      <c r="G12" s="13">
        <v>44531</v>
      </c>
      <c r="H12" s="77" t="s">
        <v>215</v>
      </c>
      <c r="I12" s="16">
        <v>42</v>
      </c>
      <c r="J12" s="16">
        <v>34</v>
      </c>
      <c r="K12" s="16">
        <v>17</v>
      </c>
      <c r="L12" s="16">
        <v>7</v>
      </c>
      <c r="M12" s="81">
        <v>6.069</v>
      </c>
      <c r="N12" s="96">
        <v>7</v>
      </c>
      <c r="O12" s="64">
        <v>7000</v>
      </c>
      <c r="P12" s="65">
        <f>Table22457891011234567891011121314[[#This Row],[PEMBULATAN]]*O12</f>
        <v>49000</v>
      </c>
    </row>
    <row r="13" spans="1:16" ht="26.25" customHeight="1" x14ac:dyDescent="0.2">
      <c r="A13" s="14"/>
      <c r="B13" s="14"/>
      <c r="C13" s="73" t="s">
        <v>285</v>
      </c>
      <c r="D13" s="78" t="s">
        <v>60</v>
      </c>
      <c r="E13" s="13">
        <v>44526</v>
      </c>
      <c r="F13" s="76" t="s">
        <v>214</v>
      </c>
      <c r="G13" s="13">
        <v>44531</v>
      </c>
      <c r="H13" s="77" t="s">
        <v>215</v>
      </c>
      <c r="I13" s="16">
        <v>60</v>
      </c>
      <c r="J13" s="16">
        <v>42</v>
      </c>
      <c r="K13" s="16">
        <v>42</v>
      </c>
      <c r="L13" s="16">
        <v>17</v>
      </c>
      <c r="M13" s="81">
        <v>26.46</v>
      </c>
      <c r="N13" s="96">
        <v>27</v>
      </c>
      <c r="O13" s="64">
        <v>7000</v>
      </c>
      <c r="P13" s="65">
        <f>Table22457891011234567891011121314[[#This Row],[PEMBULATAN]]*O13</f>
        <v>189000</v>
      </c>
    </row>
    <row r="14" spans="1:16" ht="26.25" customHeight="1" x14ac:dyDescent="0.2">
      <c r="A14" s="14"/>
      <c r="B14" s="14"/>
      <c r="C14" s="73" t="s">
        <v>286</v>
      </c>
      <c r="D14" s="78" t="s">
        <v>60</v>
      </c>
      <c r="E14" s="13">
        <v>44526</v>
      </c>
      <c r="F14" s="76" t="s">
        <v>214</v>
      </c>
      <c r="G14" s="13">
        <v>44531</v>
      </c>
      <c r="H14" s="77" t="s">
        <v>215</v>
      </c>
      <c r="I14" s="16">
        <v>42</v>
      </c>
      <c r="J14" s="16">
        <v>32</v>
      </c>
      <c r="K14" s="16">
        <v>32</v>
      </c>
      <c r="L14" s="16">
        <v>9</v>
      </c>
      <c r="M14" s="81">
        <v>10.752000000000001</v>
      </c>
      <c r="N14" s="96">
        <v>10.752000000000001</v>
      </c>
      <c r="O14" s="64">
        <v>7000</v>
      </c>
      <c r="P14" s="65">
        <f>Table22457891011234567891011121314[[#This Row],[PEMBULATAN]]*O14</f>
        <v>75264</v>
      </c>
    </row>
    <row r="15" spans="1:16" ht="26.25" customHeight="1" x14ac:dyDescent="0.2">
      <c r="A15" s="14"/>
      <c r="B15" s="14"/>
      <c r="C15" s="73" t="s">
        <v>287</v>
      </c>
      <c r="D15" s="78" t="s">
        <v>60</v>
      </c>
      <c r="E15" s="13">
        <v>44526</v>
      </c>
      <c r="F15" s="76" t="s">
        <v>214</v>
      </c>
      <c r="G15" s="13">
        <v>44531</v>
      </c>
      <c r="H15" s="77" t="s">
        <v>215</v>
      </c>
      <c r="I15" s="16">
        <v>50</v>
      </c>
      <c r="J15" s="16">
        <v>57</v>
      </c>
      <c r="K15" s="16">
        <v>25</v>
      </c>
      <c r="L15" s="16">
        <v>19</v>
      </c>
      <c r="M15" s="81">
        <v>17.8125</v>
      </c>
      <c r="N15" s="96">
        <v>19</v>
      </c>
      <c r="O15" s="64">
        <v>7000</v>
      </c>
      <c r="P15" s="65">
        <f>Table22457891011234567891011121314[[#This Row],[PEMBULATAN]]*O15</f>
        <v>133000</v>
      </c>
    </row>
    <row r="16" spans="1:16" ht="26.25" customHeight="1" x14ac:dyDescent="0.2">
      <c r="A16" s="14"/>
      <c r="B16" s="14"/>
      <c r="C16" s="73" t="s">
        <v>288</v>
      </c>
      <c r="D16" s="78" t="s">
        <v>60</v>
      </c>
      <c r="E16" s="13">
        <v>44526</v>
      </c>
      <c r="F16" s="76" t="s">
        <v>214</v>
      </c>
      <c r="G16" s="13">
        <v>44531</v>
      </c>
      <c r="H16" s="77" t="s">
        <v>215</v>
      </c>
      <c r="I16" s="16">
        <v>65</v>
      </c>
      <c r="J16" s="16">
        <v>30</v>
      </c>
      <c r="K16" s="16">
        <v>37</v>
      </c>
      <c r="L16" s="16">
        <v>14</v>
      </c>
      <c r="M16" s="81">
        <v>18.037500000000001</v>
      </c>
      <c r="N16" s="96">
        <v>18.037500000000001</v>
      </c>
      <c r="O16" s="64">
        <v>7000</v>
      </c>
      <c r="P16" s="65">
        <f>Table22457891011234567891011121314[[#This Row],[PEMBULATAN]]*O16</f>
        <v>126262.50000000001</v>
      </c>
    </row>
    <row r="17" spans="1:16" ht="26.25" customHeight="1" x14ac:dyDescent="0.2">
      <c r="A17" s="14"/>
      <c r="B17" s="14"/>
      <c r="C17" s="73" t="s">
        <v>289</v>
      </c>
      <c r="D17" s="78" t="s">
        <v>60</v>
      </c>
      <c r="E17" s="13">
        <v>44526</v>
      </c>
      <c r="F17" s="76" t="s">
        <v>214</v>
      </c>
      <c r="G17" s="13">
        <v>44531</v>
      </c>
      <c r="H17" s="77" t="s">
        <v>215</v>
      </c>
      <c r="I17" s="16">
        <v>48</v>
      </c>
      <c r="J17" s="16">
        <v>40</v>
      </c>
      <c r="K17" s="16">
        <v>27</v>
      </c>
      <c r="L17" s="16">
        <v>7</v>
      </c>
      <c r="M17" s="81">
        <v>12.96</v>
      </c>
      <c r="N17" s="96">
        <v>12.96</v>
      </c>
      <c r="O17" s="64">
        <v>7000</v>
      </c>
      <c r="P17" s="65">
        <f>Table22457891011234567891011121314[[#This Row],[PEMBULATAN]]*O17</f>
        <v>90720</v>
      </c>
    </row>
    <row r="18" spans="1:16" ht="26.25" customHeight="1" x14ac:dyDescent="0.2">
      <c r="A18" s="14"/>
      <c r="B18" s="14"/>
      <c r="C18" s="73" t="s">
        <v>290</v>
      </c>
      <c r="D18" s="78" t="s">
        <v>60</v>
      </c>
      <c r="E18" s="13">
        <v>44526</v>
      </c>
      <c r="F18" s="76" t="s">
        <v>214</v>
      </c>
      <c r="G18" s="13">
        <v>44531</v>
      </c>
      <c r="H18" s="77" t="s">
        <v>215</v>
      </c>
      <c r="I18" s="16">
        <v>94</v>
      </c>
      <c r="J18" s="16">
        <v>94</v>
      </c>
      <c r="K18" s="16">
        <v>8</v>
      </c>
      <c r="L18" s="16">
        <v>6</v>
      </c>
      <c r="M18" s="81">
        <v>17.672000000000001</v>
      </c>
      <c r="N18" s="96">
        <v>17.672000000000001</v>
      </c>
      <c r="O18" s="64">
        <v>7000</v>
      </c>
      <c r="P18" s="65">
        <f>Table22457891011234567891011121314[[#This Row],[PEMBULATAN]]*O18</f>
        <v>123704</v>
      </c>
    </row>
    <row r="19" spans="1:16" ht="26.25" customHeight="1" x14ac:dyDescent="0.2">
      <c r="A19" s="14"/>
      <c r="B19" s="14"/>
      <c r="C19" s="73" t="s">
        <v>291</v>
      </c>
      <c r="D19" s="78" t="s">
        <v>60</v>
      </c>
      <c r="E19" s="13">
        <v>44526</v>
      </c>
      <c r="F19" s="76" t="s">
        <v>214</v>
      </c>
      <c r="G19" s="13">
        <v>44531</v>
      </c>
      <c r="H19" s="77" t="s">
        <v>215</v>
      </c>
      <c r="I19" s="16">
        <v>50</v>
      </c>
      <c r="J19" s="16">
        <v>35</v>
      </c>
      <c r="K19" s="16">
        <v>35</v>
      </c>
      <c r="L19" s="16">
        <v>12</v>
      </c>
      <c r="M19" s="81">
        <v>15.3125</v>
      </c>
      <c r="N19" s="96">
        <v>16</v>
      </c>
      <c r="O19" s="64">
        <v>7000</v>
      </c>
      <c r="P19" s="65">
        <f>Table22457891011234567891011121314[[#This Row],[PEMBULATAN]]*O19</f>
        <v>112000</v>
      </c>
    </row>
    <row r="20" spans="1:16" ht="26.25" customHeight="1" x14ac:dyDescent="0.2">
      <c r="A20" s="14"/>
      <c r="B20" s="14"/>
      <c r="C20" s="73" t="s">
        <v>292</v>
      </c>
      <c r="D20" s="78" t="s">
        <v>60</v>
      </c>
      <c r="E20" s="13">
        <v>44526</v>
      </c>
      <c r="F20" s="76" t="s">
        <v>214</v>
      </c>
      <c r="G20" s="13">
        <v>44531</v>
      </c>
      <c r="H20" s="77" t="s">
        <v>215</v>
      </c>
      <c r="I20" s="16">
        <v>40</v>
      </c>
      <c r="J20" s="16">
        <v>30</v>
      </c>
      <c r="K20" s="16">
        <v>20</v>
      </c>
      <c r="L20" s="16">
        <v>14</v>
      </c>
      <c r="M20" s="81">
        <v>6</v>
      </c>
      <c r="N20" s="96">
        <v>14</v>
      </c>
      <c r="O20" s="64">
        <v>7000</v>
      </c>
      <c r="P20" s="65">
        <f>Table22457891011234567891011121314[[#This Row],[PEMBULATAN]]*O20</f>
        <v>98000</v>
      </c>
    </row>
    <row r="21" spans="1:16" ht="26.25" customHeight="1" x14ac:dyDescent="0.2">
      <c r="A21" s="14"/>
      <c r="B21" s="14"/>
      <c r="C21" s="73" t="s">
        <v>293</v>
      </c>
      <c r="D21" s="78" t="s">
        <v>60</v>
      </c>
      <c r="E21" s="13">
        <v>44526</v>
      </c>
      <c r="F21" s="76" t="s">
        <v>214</v>
      </c>
      <c r="G21" s="13">
        <v>44531</v>
      </c>
      <c r="H21" s="77" t="s">
        <v>215</v>
      </c>
      <c r="I21" s="16">
        <v>30</v>
      </c>
      <c r="J21" s="16">
        <v>27</v>
      </c>
      <c r="K21" s="16">
        <v>16</v>
      </c>
      <c r="L21" s="16">
        <v>7</v>
      </c>
      <c r="M21" s="81">
        <v>3.24</v>
      </c>
      <c r="N21" s="96">
        <v>7</v>
      </c>
      <c r="O21" s="64">
        <v>7000</v>
      </c>
      <c r="P21" s="65">
        <f>Table22457891011234567891011121314[[#This Row],[PEMBULATAN]]*O21</f>
        <v>49000</v>
      </c>
    </row>
    <row r="22" spans="1:16" ht="26.25" customHeight="1" x14ac:dyDescent="0.2">
      <c r="A22" s="14"/>
      <c r="B22" s="14"/>
      <c r="C22" s="73" t="s">
        <v>294</v>
      </c>
      <c r="D22" s="78" t="s">
        <v>60</v>
      </c>
      <c r="E22" s="13">
        <v>44526</v>
      </c>
      <c r="F22" s="76" t="s">
        <v>214</v>
      </c>
      <c r="G22" s="13">
        <v>44531</v>
      </c>
      <c r="H22" s="77" t="s">
        <v>215</v>
      </c>
      <c r="I22" s="16">
        <v>50</v>
      </c>
      <c r="J22" s="16">
        <v>34</v>
      </c>
      <c r="K22" s="16">
        <v>17</v>
      </c>
      <c r="L22" s="16">
        <v>7</v>
      </c>
      <c r="M22" s="81">
        <v>7.2249999999999996</v>
      </c>
      <c r="N22" s="96">
        <v>7.2249999999999996</v>
      </c>
      <c r="O22" s="64">
        <v>7000</v>
      </c>
      <c r="P22" s="65">
        <f>Table22457891011234567891011121314[[#This Row],[PEMBULATAN]]*O22</f>
        <v>50575</v>
      </c>
    </row>
    <row r="23" spans="1:16" ht="26.25" customHeight="1" x14ac:dyDescent="0.2">
      <c r="A23" s="14"/>
      <c r="B23" s="14"/>
      <c r="C23" s="73" t="s">
        <v>295</v>
      </c>
      <c r="D23" s="78" t="s">
        <v>60</v>
      </c>
      <c r="E23" s="13">
        <v>44526</v>
      </c>
      <c r="F23" s="76" t="s">
        <v>214</v>
      </c>
      <c r="G23" s="13">
        <v>44531</v>
      </c>
      <c r="H23" s="77" t="s">
        <v>215</v>
      </c>
      <c r="I23" s="16">
        <v>34</v>
      </c>
      <c r="J23" s="16">
        <v>27</v>
      </c>
      <c r="K23" s="16">
        <v>26</v>
      </c>
      <c r="L23" s="16">
        <v>7</v>
      </c>
      <c r="M23" s="81">
        <v>5.9669999999999996</v>
      </c>
      <c r="N23" s="96">
        <v>7</v>
      </c>
      <c r="O23" s="64">
        <v>7000</v>
      </c>
      <c r="P23" s="65">
        <f>Table22457891011234567891011121314[[#This Row],[PEMBULATAN]]*O23</f>
        <v>49000</v>
      </c>
    </row>
    <row r="24" spans="1:16" ht="26.25" customHeight="1" x14ac:dyDescent="0.2">
      <c r="A24" s="14"/>
      <c r="B24" s="14"/>
      <c r="C24" s="73" t="s">
        <v>296</v>
      </c>
      <c r="D24" s="78" t="s">
        <v>60</v>
      </c>
      <c r="E24" s="13">
        <v>44526</v>
      </c>
      <c r="F24" s="76" t="s">
        <v>214</v>
      </c>
      <c r="G24" s="13">
        <v>44531</v>
      </c>
      <c r="H24" s="77" t="s">
        <v>215</v>
      </c>
      <c r="I24" s="16">
        <v>110</v>
      </c>
      <c r="J24" s="16">
        <v>25</v>
      </c>
      <c r="K24" s="16">
        <v>27</v>
      </c>
      <c r="L24" s="16">
        <v>16</v>
      </c>
      <c r="M24" s="81">
        <v>18.5625</v>
      </c>
      <c r="N24" s="96">
        <v>18.5625</v>
      </c>
      <c r="O24" s="64">
        <v>7000</v>
      </c>
      <c r="P24" s="65">
        <f>Table22457891011234567891011121314[[#This Row],[PEMBULATAN]]*O24</f>
        <v>129937.5</v>
      </c>
    </row>
    <row r="25" spans="1:16" ht="26.25" customHeight="1" x14ac:dyDescent="0.2">
      <c r="A25" s="14"/>
      <c r="B25" s="14"/>
      <c r="C25" s="73" t="s">
        <v>297</v>
      </c>
      <c r="D25" s="78" t="s">
        <v>60</v>
      </c>
      <c r="E25" s="13">
        <v>44526</v>
      </c>
      <c r="F25" s="76" t="s">
        <v>214</v>
      </c>
      <c r="G25" s="13">
        <v>44531</v>
      </c>
      <c r="H25" s="77" t="s">
        <v>215</v>
      </c>
      <c r="I25" s="16">
        <v>40</v>
      </c>
      <c r="J25" s="16">
        <v>34</v>
      </c>
      <c r="K25" s="16">
        <v>30</v>
      </c>
      <c r="L25" s="16">
        <v>1</v>
      </c>
      <c r="M25" s="81">
        <v>10.199999999999999</v>
      </c>
      <c r="N25" s="96">
        <v>10.199999999999999</v>
      </c>
      <c r="O25" s="64">
        <v>7000</v>
      </c>
      <c r="P25" s="65">
        <f>Table22457891011234567891011121314[[#This Row],[PEMBULATAN]]*O25</f>
        <v>71400</v>
      </c>
    </row>
    <row r="26" spans="1:16" ht="26.25" customHeight="1" x14ac:dyDescent="0.2">
      <c r="A26" s="14"/>
      <c r="B26" s="14"/>
      <c r="C26" s="73" t="s">
        <v>298</v>
      </c>
      <c r="D26" s="78" t="s">
        <v>60</v>
      </c>
      <c r="E26" s="13">
        <v>44526</v>
      </c>
      <c r="F26" s="76" t="s">
        <v>214</v>
      </c>
      <c r="G26" s="13">
        <v>44531</v>
      </c>
      <c r="H26" s="77" t="s">
        <v>215</v>
      </c>
      <c r="I26" s="16">
        <v>48</v>
      </c>
      <c r="J26" s="16">
        <v>44</v>
      </c>
      <c r="K26" s="16">
        <v>75</v>
      </c>
      <c r="L26" s="16">
        <v>33</v>
      </c>
      <c r="M26" s="81">
        <v>39.6</v>
      </c>
      <c r="N26" s="96">
        <v>39.6</v>
      </c>
      <c r="O26" s="64">
        <v>7000</v>
      </c>
      <c r="P26" s="65">
        <f>Table22457891011234567891011121314[[#This Row],[PEMBULATAN]]*O26</f>
        <v>277200</v>
      </c>
    </row>
    <row r="27" spans="1:16" ht="26.25" customHeight="1" x14ac:dyDescent="0.2">
      <c r="A27" s="14"/>
      <c r="B27" s="14"/>
      <c r="C27" s="73" t="s">
        <v>299</v>
      </c>
      <c r="D27" s="78" t="s">
        <v>60</v>
      </c>
      <c r="E27" s="13">
        <v>44526</v>
      </c>
      <c r="F27" s="76" t="s">
        <v>214</v>
      </c>
      <c r="G27" s="13">
        <v>44531</v>
      </c>
      <c r="H27" s="77" t="s">
        <v>215</v>
      </c>
      <c r="I27" s="16">
        <v>108</v>
      </c>
      <c r="J27" s="16">
        <v>65</v>
      </c>
      <c r="K27" s="16">
        <v>16</v>
      </c>
      <c r="L27" s="16">
        <v>15</v>
      </c>
      <c r="M27" s="81">
        <v>28.08</v>
      </c>
      <c r="N27" s="96">
        <v>28.08</v>
      </c>
      <c r="O27" s="64">
        <v>7000</v>
      </c>
      <c r="P27" s="65">
        <f>Table22457891011234567891011121314[[#This Row],[PEMBULATAN]]*O27</f>
        <v>196560</v>
      </c>
    </row>
    <row r="28" spans="1:16" ht="26.25" customHeight="1" x14ac:dyDescent="0.2">
      <c r="A28" s="14"/>
      <c r="B28" s="14"/>
      <c r="C28" s="73" t="s">
        <v>300</v>
      </c>
      <c r="D28" s="78" t="s">
        <v>60</v>
      </c>
      <c r="E28" s="13">
        <v>44526</v>
      </c>
      <c r="F28" s="76" t="s">
        <v>214</v>
      </c>
      <c r="G28" s="13">
        <v>44531</v>
      </c>
      <c r="H28" s="77" t="s">
        <v>215</v>
      </c>
      <c r="I28" s="16">
        <v>70</v>
      </c>
      <c r="J28" s="16">
        <v>20</v>
      </c>
      <c r="K28" s="16">
        <v>28</v>
      </c>
      <c r="L28" s="16">
        <v>11</v>
      </c>
      <c r="M28" s="81">
        <v>9.8000000000000007</v>
      </c>
      <c r="N28" s="96">
        <v>11</v>
      </c>
      <c r="O28" s="64">
        <v>7000</v>
      </c>
      <c r="P28" s="65">
        <f>Table22457891011234567891011121314[[#This Row],[PEMBULATAN]]*O28</f>
        <v>77000</v>
      </c>
    </row>
    <row r="29" spans="1:16" ht="26.25" customHeight="1" x14ac:dyDescent="0.2">
      <c r="A29" s="14"/>
      <c r="B29" s="97"/>
      <c r="C29" s="73" t="s">
        <v>301</v>
      </c>
      <c r="D29" s="78" t="s">
        <v>60</v>
      </c>
      <c r="E29" s="13">
        <v>44526</v>
      </c>
      <c r="F29" s="76" t="s">
        <v>214</v>
      </c>
      <c r="G29" s="13">
        <v>44531</v>
      </c>
      <c r="H29" s="77" t="s">
        <v>215</v>
      </c>
      <c r="I29" s="16">
        <v>30</v>
      </c>
      <c r="J29" s="16">
        <v>18</v>
      </c>
      <c r="K29" s="16">
        <v>16</v>
      </c>
      <c r="L29" s="16">
        <v>7</v>
      </c>
      <c r="M29" s="81">
        <v>2.16</v>
      </c>
      <c r="N29" s="96">
        <v>7</v>
      </c>
      <c r="O29" s="64">
        <v>7000</v>
      </c>
      <c r="P29" s="65">
        <f>Table22457891011234567891011121314[[#This Row],[PEMBULATAN]]*O29</f>
        <v>49000</v>
      </c>
    </row>
    <row r="30" spans="1:16" ht="26.25" customHeight="1" x14ac:dyDescent="0.2">
      <c r="A30" s="14"/>
      <c r="B30" s="14" t="s">
        <v>302</v>
      </c>
      <c r="C30" s="73" t="s">
        <v>303</v>
      </c>
      <c r="D30" s="78" t="s">
        <v>60</v>
      </c>
      <c r="E30" s="13">
        <v>44526</v>
      </c>
      <c r="F30" s="76" t="s">
        <v>214</v>
      </c>
      <c r="G30" s="13">
        <v>44531</v>
      </c>
      <c r="H30" s="77" t="s">
        <v>215</v>
      </c>
      <c r="I30" s="16">
        <v>38</v>
      </c>
      <c r="J30" s="16">
        <v>38</v>
      </c>
      <c r="K30" s="16">
        <v>47</v>
      </c>
      <c r="L30" s="16">
        <v>24</v>
      </c>
      <c r="M30" s="81">
        <v>16.966999999999999</v>
      </c>
      <c r="N30" s="96">
        <v>24</v>
      </c>
      <c r="O30" s="64">
        <v>7000</v>
      </c>
      <c r="P30" s="65">
        <f>Table22457891011234567891011121314[[#This Row],[PEMBULATAN]]*O30</f>
        <v>168000</v>
      </c>
    </row>
    <row r="31" spans="1:16" ht="26.25" customHeight="1" x14ac:dyDescent="0.2">
      <c r="A31" s="14"/>
      <c r="B31" s="14"/>
      <c r="C31" s="73" t="s">
        <v>304</v>
      </c>
      <c r="D31" s="78" t="s">
        <v>60</v>
      </c>
      <c r="E31" s="13">
        <v>44526</v>
      </c>
      <c r="F31" s="76" t="s">
        <v>214</v>
      </c>
      <c r="G31" s="13">
        <v>44531</v>
      </c>
      <c r="H31" s="77" t="s">
        <v>215</v>
      </c>
      <c r="I31" s="16">
        <v>42</v>
      </c>
      <c r="J31" s="16">
        <v>44</v>
      </c>
      <c r="K31" s="16">
        <v>18</v>
      </c>
      <c r="L31" s="16">
        <v>7</v>
      </c>
      <c r="M31" s="81">
        <v>8.3160000000000007</v>
      </c>
      <c r="N31" s="96">
        <v>9</v>
      </c>
      <c r="O31" s="64">
        <v>7000</v>
      </c>
      <c r="P31" s="65">
        <f>Table22457891011234567891011121314[[#This Row],[PEMBULATAN]]*O31</f>
        <v>63000</v>
      </c>
    </row>
    <row r="32" spans="1:16" ht="26.25" customHeight="1" x14ac:dyDescent="0.2">
      <c r="A32" s="14"/>
      <c r="B32" s="14"/>
      <c r="C32" s="73" t="s">
        <v>305</v>
      </c>
      <c r="D32" s="78" t="s">
        <v>60</v>
      </c>
      <c r="E32" s="13">
        <v>44526</v>
      </c>
      <c r="F32" s="76" t="s">
        <v>214</v>
      </c>
      <c r="G32" s="13">
        <v>44531</v>
      </c>
      <c r="H32" s="77" t="s">
        <v>215</v>
      </c>
      <c r="I32" s="16">
        <v>42</v>
      </c>
      <c r="J32" s="16">
        <v>32</v>
      </c>
      <c r="K32" s="16">
        <v>32</v>
      </c>
      <c r="L32" s="16">
        <v>5</v>
      </c>
      <c r="M32" s="81">
        <v>10.752000000000001</v>
      </c>
      <c r="N32" s="96">
        <v>10.752000000000001</v>
      </c>
      <c r="O32" s="64">
        <v>7000</v>
      </c>
      <c r="P32" s="65">
        <f>Table22457891011234567891011121314[[#This Row],[PEMBULATAN]]*O32</f>
        <v>75264</v>
      </c>
    </row>
    <row r="33" spans="1:16" ht="26.25" customHeight="1" x14ac:dyDescent="0.2">
      <c r="A33" s="14"/>
      <c r="B33" s="14"/>
      <c r="C33" s="73" t="s">
        <v>306</v>
      </c>
      <c r="D33" s="78" t="s">
        <v>60</v>
      </c>
      <c r="E33" s="13">
        <v>44526</v>
      </c>
      <c r="F33" s="76" t="s">
        <v>214</v>
      </c>
      <c r="G33" s="13">
        <v>44531</v>
      </c>
      <c r="H33" s="77" t="s">
        <v>215</v>
      </c>
      <c r="I33" s="16">
        <v>38</v>
      </c>
      <c r="J33" s="16">
        <v>20</v>
      </c>
      <c r="K33" s="16">
        <v>20</v>
      </c>
      <c r="L33" s="16">
        <v>36</v>
      </c>
      <c r="M33" s="81">
        <v>3.8</v>
      </c>
      <c r="N33" s="72">
        <v>36</v>
      </c>
      <c r="O33" s="64">
        <v>7000</v>
      </c>
      <c r="P33" s="65">
        <f>Table22457891011234567891011121314[[#This Row],[PEMBULATAN]]*O33</f>
        <v>252000</v>
      </c>
    </row>
    <row r="34" spans="1:16" ht="22.5" customHeight="1" x14ac:dyDescent="0.2">
      <c r="A34" s="117" t="s">
        <v>30</v>
      </c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9"/>
      <c r="M34" s="79">
        <f>SUBTOTAL(109,Table22457891011234567891011121314[KG VOLUME])</f>
        <v>526.0329999999999</v>
      </c>
      <c r="N34" s="68">
        <f>SUM(N3:N33)</f>
        <v>600.78324999999995</v>
      </c>
      <c r="O34" s="120">
        <f>SUM(P3:P33)</f>
        <v>4205482.75</v>
      </c>
      <c r="P34" s="121"/>
    </row>
    <row r="35" spans="1:16" ht="18" customHeight="1" x14ac:dyDescent="0.2">
      <c r="A35" s="86"/>
      <c r="B35" s="56" t="s">
        <v>42</v>
      </c>
      <c r="C35" s="55"/>
      <c r="D35" s="57" t="s">
        <v>43</v>
      </c>
      <c r="E35" s="86"/>
      <c r="F35" s="86"/>
      <c r="G35" s="86"/>
      <c r="H35" s="86"/>
      <c r="I35" s="86"/>
      <c r="J35" s="86"/>
      <c r="K35" s="86"/>
      <c r="L35" s="86"/>
      <c r="M35" s="87"/>
      <c r="N35" s="88" t="s">
        <v>52</v>
      </c>
      <c r="O35" s="89"/>
      <c r="P35" s="89">
        <v>0</v>
      </c>
    </row>
    <row r="36" spans="1:16" ht="18" customHeight="1" thickBot="1" x14ac:dyDescent="0.25">
      <c r="A36" s="86"/>
      <c r="B36" s="56"/>
      <c r="C36" s="55"/>
      <c r="D36" s="57"/>
      <c r="E36" s="86"/>
      <c r="F36" s="86"/>
      <c r="G36" s="86"/>
      <c r="H36" s="86"/>
      <c r="I36" s="86"/>
      <c r="J36" s="86"/>
      <c r="K36" s="86"/>
      <c r="L36" s="86"/>
      <c r="M36" s="87"/>
      <c r="N36" s="90" t="s">
        <v>53</v>
      </c>
      <c r="O36" s="91"/>
      <c r="P36" s="91">
        <f>O34-P35</f>
        <v>4205482.75</v>
      </c>
    </row>
    <row r="37" spans="1:16" ht="18" customHeight="1" x14ac:dyDescent="0.2">
      <c r="A37" s="11"/>
      <c r="H37" s="63"/>
      <c r="N37" s="62" t="s">
        <v>31</v>
      </c>
      <c r="P37" s="69">
        <f>P36*1%</f>
        <v>42054.827499999999</v>
      </c>
    </row>
    <row r="38" spans="1:16" ht="18" customHeight="1" thickBot="1" x14ac:dyDescent="0.25">
      <c r="A38" s="11"/>
      <c r="H38" s="63"/>
      <c r="N38" s="62" t="s">
        <v>54</v>
      </c>
      <c r="P38" s="71">
        <f>P36*2%</f>
        <v>84109.654999999999</v>
      </c>
    </row>
    <row r="39" spans="1:16" ht="18" customHeight="1" x14ac:dyDescent="0.2">
      <c r="A39" s="11"/>
      <c r="H39" s="63"/>
      <c r="N39" s="66" t="s">
        <v>32</v>
      </c>
      <c r="O39" s="67"/>
      <c r="P39" s="70">
        <f>P36+P37-P38</f>
        <v>4163427.9224999999</v>
      </c>
    </row>
    <row r="41" spans="1:16" x14ac:dyDescent="0.2">
      <c r="A41" s="11"/>
      <c r="H41" s="63"/>
      <c r="P41" s="71"/>
    </row>
    <row r="42" spans="1:16" x14ac:dyDescent="0.2">
      <c r="A42" s="11"/>
      <c r="H42" s="63"/>
      <c r="O42" s="58"/>
      <c r="P42" s="71"/>
    </row>
    <row r="43" spans="1:16" s="3" customFormat="1" x14ac:dyDescent="0.25">
      <c r="A43" s="11"/>
      <c r="B43" s="2"/>
      <c r="C43" s="2"/>
      <c r="E43" s="12"/>
      <c r="H43" s="63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3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3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3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3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3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3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3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3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3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63"/>
      <c r="N53" s="15"/>
      <c r="O53" s="15"/>
      <c r="P53" s="15"/>
    </row>
    <row r="54" spans="1:16" s="3" customFormat="1" x14ac:dyDescent="0.25">
      <c r="A54" s="11"/>
      <c r="B54" s="2"/>
      <c r="C54" s="2"/>
      <c r="E54" s="12"/>
      <c r="H54" s="63"/>
      <c r="N54" s="15"/>
      <c r="O54" s="15"/>
      <c r="P54" s="15"/>
    </row>
  </sheetData>
  <mergeCells count="2">
    <mergeCell ref="A34:L34"/>
    <mergeCell ref="O34:P34"/>
  </mergeCells>
  <conditionalFormatting sqref="B3">
    <cfRule type="duplicateValues" dxfId="211" priority="2"/>
  </conditionalFormatting>
  <conditionalFormatting sqref="B4">
    <cfRule type="duplicateValues" dxfId="210" priority="1"/>
  </conditionalFormatting>
  <conditionalFormatting sqref="B5:B33">
    <cfRule type="duplicateValues" dxfId="209" priority="1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5"/>
  <sheetViews>
    <sheetView zoomScale="110" zoomScaleNormal="110" workbookViewId="0">
      <pane xSplit="3" ySplit="2" topLeftCell="D7" activePane="bottomRight" state="frozen"/>
      <selection pane="topRight" activeCell="B1" sqref="B1"/>
      <selection pane="bottomLeft" activeCell="A3" sqref="A3"/>
      <selection pane="bottomRight" activeCell="O16" sqref="O1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403712</v>
      </c>
      <c r="B3" s="74" t="s">
        <v>307</v>
      </c>
      <c r="C3" s="9" t="s">
        <v>308</v>
      </c>
      <c r="D3" s="76" t="s">
        <v>60</v>
      </c>
      <c r="E3" s="13">
        <v>44526</v>
      </c>
      <c r="F3" s="76" t="s">
        <v>214</v>
      </c>
      <c r="G3" s="13">
        <v>44531</v>
      </c>
      <c r="H3" s="10" t="s">
        <v>215</v>
      </c>
      <c r="I3" s="1">
        <v>50</v>
      </c>
      <c r="J3" s="1">
        <v>40</v>
      </c>
      <c r="K3" s="1">
        <v>40</v>
      </c>
      <c r="L3" s="1">
        <v>11</v>
      </c>
      <c r="M3" s="80">
        <v>20</v>
      </c>
      <c r="N3" s="8">
        <v>20</v>
      </c>
      <c r="O3" s="64">
        <v>7000</v>
      </c>
      <c r="P3" s="65">
        <f>Table2245789101123456789101112131415[[#This Row],[PEMBULATAN]]*O3</f>
        <v>140000</v>
      </c>
    </row>
    <row r="4" spans="1:16" ht="26.25" customHeight="1" x14ac:dyDescent="0.2">
      <c r="A4" s="14"/>
      <c r="B4" s="75"/>
      <c r="C4" s="9" t="s">
        <v>309</v>
      </c>
      <c r="D4" s="76" t="s">
        <v>60</v>
      </c>
      <c r="E4" s="13">
        <v>44526</v>
      </c>
      <c r="F4" s="76" t="s">
        <v>214</v>
      </c>
      <c r="G4" s="13">
        <v>44531</v>
      </c>
      <c r="H4" s="10" t="s">
        <v>215</v>
      </c>
      <c r="I4" s="1">
        <v>26</v>
      </c>
      <c r="J4" s="1">
        <v>24</v>
      </c>
      <c r="K4" s="1">
        <v>20</v>
      </c>
      <c r="L4" s="1">
        <v>11</v>
      </c>
      <c r="M4" s="80">
        <v>3.12</v>
      </c>
      <c r="N4" s="8">
        <v>11</v>
      </c>
      <c r="O4" s="64">
        <v>7000</v>
      </c>
      <c r="P4" s="65">
        <f>Table2245789101123456789101112131415[[#This Row],[PEMBULATAN]]*O4</f>
        <v>77000</v>
      </c>
    </row>
    <row r="5" spans="1:16" ht="26.25" customHeight="1" x14ac:dyDescent="0.2">
      <c r="A5" s="14"/>
      <c r="B5" s="14"/>
      <c r="C5" s="9" t="s">
        <v>310</v>
      </c>
      <c r="D5" s="76" t="s">
        <v>60</v>
      </c>
      <c r="E5" s="13">
        <v>44526</v>
      </c>
      <c r="F5" s="76" t="s">
        <v>214</v>
      </c>
      <c r="G5" s="13">
        <v>44531</v>
      </c>
      <c r="H5" s="10" t="s">
        <v>215</v>
      </c>
      <c r="I5" s="1">
        <v>44</v>
      </c>
      <c r="J5" s="1">
        <v>34</v>
      </c>
      <c r="K5" s="1">
        <v>30</v>
      </c>
      <c r="L5" s="1">
        <v>9</v>
      </c>
      <c r="M5" s="80">
        <v>11.22</v>
      </c>
      <c r="N5" s="96">
        <v>11.22</v>
      </c>
      <c r="O5" s="64">
        <v>7000</v>
      </c>
      <c r="P5" s="65">
        <f>Table2245789101123456789101112131415[[#This Row],[PEMBULATAN]]*O5</f>
        <v>78540</v>
      </c>
    </row>
    <row r="6" spans="1:16" ht="26.25" customHeight="1" x14ac:dyDescent="0.2">
      <c r="A6" s="14"/>
      <c r="B6" s="14"/>
      <c r="C6" s="73" t="s">
        <v>311</v>
      </c>
      <c r="D6" s="78" t="s">
        <v>60</v>
      </c>
      <c r="E6" s="13">
        <v>44526</v>
      </c>
      <c r="F6" s="76" t="s">
        <v>214</v>
      </c>
      <c r="G6" s="13">
        <v>44531</v>
      </c>
      <c r="H6" s="77" t="s">
        <v>215</v>
      </c>
      <c r="I6" s="16">
        <v>32</v>
      </c>
      <c r="J6" s="16">
        <v>22</v>
      </c>
      <c r="K6" s="16">
        <v>19</v>
      </c>
      <c r="L6" s="16">
        <v>7</v>
      </c>
      <c r="M6" s="81">
        <v>3.3439999999999999</v>
      </c>
      <c r="N6" s="96">
        <v>8</v>
      </c>
      <c r="O6" s="64">
        <v>7000</v>
      </c>
      <c r="P6" s="65">
        <f>Table2245789101123456789101112131415[[#This Row],[PEMBULATAN]]*O6</f>
        <v>56000</v>
      </c>
    </row>
    <row r="7" spans="1:16" ht="26.25" customHeight="1" x14ac:dyDescent="0.2">
      <c r="A7" s="14"/>
      <c r="B7" s="14"/>
      <c r="C7" s="73" t="s">
        <v>312</v>
      </c>
      <c r="D7" s="78" t="s">
        <v>60</v>
      </c>
      <c r="E7" s="13">
        <v>44526</v>
      </c>
      <c r="F7" s="76" t="s">
        <v>214</v>
      </c>
      <c r="G7" s="13">
        <v>44531</v>
      </c>
      <c r="H7" s="77" t="s">
        <v>215</v>
      </c>
      <c r="I7" s="16">
        <v>44</v>
      </c>
      <c r="J7" s="16">
        <v>34</v>
      </c>
      <c r="K7" s="16">
        <v>30</v>
      </c>
      <c r="L7" s="16">
        <v>9</v>
      </c>
      <c r="M7" s="81">
        <v>11.22</v>
      </c>
      <c r="N7" s="96">
        <v>11.22</v>
      </c>
      <c r="O7" s="64">
        <v>7000</v>
      </c>
      <c r="P7" s="65">
        <f>Table2245789101123456789101112131415[[#This Row],[PEMBULATAN]]*O7</f>
        <v>78540</v>
      </c>
    </row>
    <row r="8" spans="1:16" ht="26.25" customHeight="1" x14ac:dyDescent="0.2">
      <c r="A8" s="14"/>
      <c r="B8" s="14"/>
      <c r="C8" s="73" t="s">
        <v>313</v>
      </c>
      <c r="D8" s="78" t="s">
        <v>60</v>
      </c>
      <c r="E8" s="13">
        <v>44526</v>
      </c>
      <c r="F8" s="76" t="s">
        <v>214</v>
      </c>
      <c r="G8" s="13">
        <v>44531</v>
      </c>
      <c r="H8" s="77" t="s">
        <v>215</v>
      </c>
      <c r="I8" s="16">
        <v>32</v>
      </c>
      <c r="J8" s="16">
        <v>33</v>
      </c>
      <c r="K8" s="16">
        <v>17</v>
      </c>
      <c r="L8" s="16">
        <v>7</v>
      </c>
      <c r="M8" s="81">
        <v>4.4880000000000004</v>
      </c>
      <c r="N8" s="96">
        <v>8</v>
      </c>
      <c r="O8" s="64">
        <v>7000</v>
      </c>
      <c r="P8" s="65">
        <f>Table2245789101123456789101112131415[[#This Row],[PEMBULATAN]]*O8</f>
        <v>56000</v>
      </c>
    </row>
    <row r="9" spans="1:16" ht="26.25" customHeight="1" x14ac:dyDescent="0.2">
      <c r="A9" s="14"/>
      <c r="B9" s="14"/>
      <c r="C9" s="73" t="s">
        <v>314</v>
      </c>
      <c r="D9" s="78" t="s">
        <v>60</v>
      </c>
      <c r="E9" s="13">
        <v>44526</v>
      </c>
      <c r="F9" s="76" t="s">
        <v>214</v>
      </c>
      <c r="G9" s="13">
        <v>44531</v>
      </c>
      <c r="H9" s="77" t="s">
        <v>215</v>
      </c>
      <c r="I9" s="16">
        <v>44</v>
      </c>
      <c r="J9" s="16">
        <v>34</v>
      </c>
      <c r="K9" s="16">
        <v>30</v>
      </c>
      <c r="L9" s="16">
        <v>9</v>
      </c>
      <c r="M9" s="81">
        <v>11.22</v>
      </c>
      <c r="N9" s="96">
        <v>11.22</v>
      </c>
      <c r="O9" s="64">
        <v>7000</v>
      </c>
      <c r="P9" s="65">
        <f>Table2245789101123456789101112131415[[#This Row],[PEMBULATAN]]*O9</f>
        <v>78540</v>
      </c>
    </row>
    <row r="10" spans="1:16" ht="26.25" customHeight="1" x14ac:dyDescent="0.2">
      <c r="A10" s="14"/>
      <c r="B10" s="14"/>
      <c r="C10" s="73" t="s">
        <v>315</v>
      </c>
      <c r="D10" s="78" t="s">
        <v>60</v>
      </c>
      <c r="E10" s="13">
        <v>44526</v>
      </c>
      <c r="F10" s="76" t="s">
        <v>214</v>
      </c>
      <c r="G10" s="13">
        <v>44531</v>
      </c>
      <c r="H10" s="77" t="s">
        <v>215</v>
      </c>
      <c r="I10" s="16">
        <v>44</v>
      </c>
      <c r="J10" s="16">
        <v>34</v>
      </c>
      <c r="K10" s="16">
        <v>30</v>
      </c>
      <c r="L10" s="16">
        <v>9</v>
      </c>
      <c r="M10" s="81">
        <v>11.22</v>
      </c>
      <c r="N10" s="96">
        <v>11.22</v>
      </c>
      <c r="O10" s="64">
        <v>7000</v>
      </c>
      <c r="P10" s="65">
        <f>Table2245789101123456789101112131415[[#This Row],[PEMBULATAN]]*O10</f>
        <v>78540</v>
      </c>
    </row>
    <row r="11" spans="1:16" ht="26.25" customHeight="1" x14ac:dyDescent="0.2">
      <c r="A11" s="14"/>
      <c r="B11" s="14"/>
      <c r="C11" s="73" t="s">
        <v>316</v>
      </c>
      <c r="D11" s="78" t="s">
        <v>60</v>
      </c>
      <c r="E11" s="13">
        <v>44526</v>
      </c>
      <c r="F11" s="76" t="s">
        <v>214</v>
      </c>
      <c r="G11" s="13">
        <v>44531</v>
      </c>
      <c r="H11" s="77" t="s">
        <v>215</v>
      </c>
      <c r="I11" s="16">
        <v>32</v>
      </c>
      <c r="J11" s="16">
        <v>22</v>
      </c>
      <c r="K11" s="16">
        <v>19</v>
      </c>
      <c r="L11" s="16">
        <v>7</v>
      </c>
      <c r="M11" s="81">
        <v>3.3439999999999999</v>
      </c>
      <c r="N11" s="96">
        <v>8</v>
      </c>
      <c r="O11" s="64">
        <v>7000</v>
      </c>
      <c r="P11" s="65">
        <f>Table2245789101123456789101112131415[[#This Row],[PEMBULATAN]]*O11</f>
        <v>56000</v>
      </c>
    </row>
    <row r="12" spans="1:16" ht="26.25" customHeight="1" x14ac:dyDescent="0.2">
      <c r="A12" s="14"/>
      <c r="B12" s="14"/>
      <c r="C12" s="73" t="s">
        <v>317</v>
      </c>
      <c r="D12" s="78" t="s">
        <v>60</v>
      </c>
      <c r="E12" s="13">
        <v>44526</v>
      </c>
      <c r="F12" s="76" t="s">
        <v>214</v>
      </c>
      <c r="G12" s="13">
        <v>44531</v>
      </c>
      <c r="H12" s="77" t="s">
        <v>215</v>
      </c>
      <c r="I12" s="16">
        <v>32</v>
      </c>
      <c r="J12" s="16">
        <v>22</v>
      </c>
      <c r="K12" s="16">
        <v>19</v>
      </c>
      <c r="L12" s="16">
        <v>7</v>
      </c>
      <c r="M12" s="81">
        <v>3.3439999999999999</v>
      </c>
      <c r="N12" s="96">
        <v>8</v>
      </c>
      <c r="O12" s="64">
        <v>7000</v>
      </c>
      <c r="P12" s="65">
        <f>Table2245789101123456789101112131415[[#This Row],[PEMBULATAN]]*O12</f>
        <v>56000</v>
      </c>
    </row>
    <row r="13" spans="1:16" ht="26.25" customHeight="1" x14ac:dyDescent="0.2">
      <c r="A13" s="14"/>
      <c r="B13" s="97"/>
      <c r="C13" s="73" t="s">
        <v>318</v>
      </c>
      <c r="D13" s="78" t="s">
        <v>60</v>
      </c>
      <c r="E13" s="13">
        <v>44526</v>
      </c>
      <c r="F13" s="76" t="s">
        <v>214</v>
      </c>
      <c r="G13" s="13">
        <v>44531</v>
      </c>
      <c r="H13" s="77" t="s">
        <v>215</v>
      </c>
      <c r="I13" s="16">
        <v>32</v>
      </c>
      <c r="J13" s="16">
        <v>22</v>
      </c>
      <c r="K13" s="16">
        <v>19</v>
      </c>
      <c r="L13" s="16">
        <v>7</v>
      </c>
      <c r="M13" s="81">
        <v>3.3439999999999999</v>
      </c>
      <c r="N13" s="96">
        <v>8</v>
      </c>
      <c r="O13" s="64">
        <v>7000</v>
      </c>
      <c r="P13" s="65">
        <f>Table2245789101123456789101112131415[[#This Row],[PEMBULATAN]]*O13</f>
        <v>56000</v>
      </c>
    </row>
    <row r="14" spans="1:16" ht="26.25" customHeight="1" x14ac:dyDescent="0.2">
      <c r="A14" s="14"/>
      <c r="B14" s="14" t="s">
        <v>319</v>
      </c>
      <c r="C14" s="73" t="s">
        <v>320</v>
      </c>
      <c r="D14" s="78" t="s">
        <v>60</v>
      </c>
      <c r="E14" s="13">
        <v>44526</v>
      </c>
      <c r="F14" s="76" t="s">
        <v>214</v>
      </c>
      <c r="G14" s="13">
        <v>44531</v>
      </c>
      <c r="H14" s="77" t="s">
        <v>215</v>
      </c>
      <c r="I14" s="16">
        <v>66</v>
      </c>
      <c r="J14" s="16">
        <v>59</v>
      </c>
      <c r="K14" s="16">
        <v>70</v>
      </c>
      <c r="L14" s="16">
        <v>34</v>
      </c>
      <c r="M14" s="81">
        <v>68.144999999999996</v>
      </c>
      <c r="N14" s="96">
        <v>68.144999999999996</v>
      </c>
      <c r="O14" s="64">
        <v>7000</v>
      </c>
      <c r="P14" s="65">
        <f>Table2245789101123456789101112131415[[#This Row],[PEMBULATAN]]*O14</f>
        <v>477015</v>
      </c>
    </row>
    <row r="15" spans="1:16" ht="22.5" customHeight="1" x14ac:dyDescent="0.2">
      <c r="A15" s="117" t="s">
        <v>30</v>
      </c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9"/>
      <c r="M15" s="79">
        <f>SUBTOTAL(109,Table2245789101123456789101112131415[KG VOLUME])</f>
        <v>154.00899999999999</v>
      </c>
      <c r="N15" s="68">
        <f>SUM(N3:N14)</f>
        <v>184.02499999999998</v>
      </c>
      <c r="O15" s="120">
        <f>SUM(P3:P14)</f>
        <v>1288175</v>
      </c>
      <c r="P15" s="121"/>
    </row>
    <row r="16" spans="1:16" ht="18" customHeight="1" x14ac:dyDescent="0.2">
      <c r="A16" s="86"/>
      <c r="B16" s="56" t="s">
        <v>42</v>
      </c>
      <c r="C16" s="55"/>
      <c r="D16" s="57" t="s">
        <v>43</v>
      </c>
      <c r="E16" s="86"/>
      <c r="F16" s="86"/>
      <c r="G16" s="86"/>
      <c r="H16" s="86"/>
      <c r="I16" s="86"/>
      <c r="J16" s="86"/>
      <c r="K16" s="86"/>
      <c r="L16" s="86"/>
      <c r="M16" s="87"/>
      <c r="N16" s="88" t="s">
        <v>52</v>
      </c>
      <c r="O16" s="89"/>
      <c r="P16" s="89">
        <v>0</v>
      </c>
    </row>
    <row r="17" spans="1:16" ht="18" customHeight="1" thickBot="1" x14ac:dyDescent="0.25">
      <c r="A17" s="86"/>
      <c r="B17" s="56"/>
      <c r="C17" s="55"/>
      <c r="D17" s="57"/>
      <c r="E17" s="86"/>
      <c r="F17" s="86"/>
      <c r="G17" s="86"/>
      <c r="H17" s="86"/>
      <c r="I17" s="86"/>
      <c r="J17" s="86"/>
      <c r="K17" s="86"/>
      <c r="L17" s="86"/>
      <c r="M17" s="87"/>
      <c r="N17" s="90" t="s">
        <v>53</v>
      </c>
      <c r="O17" s="91"/>
      <c r="P17" s="91">
        <f>O15-P16</f>
        <v>1288175</v>
      </c>
    </row>
    <row r="18" spans="1:16" ht="18" customHeight="1" x14ac:dyDescent="0.2">
      <c r="A18" s="11"/>
      <c r="H18" s="63"/>
      <c r="N18" s="62" t="s">
        <v>31</v>
      </c>
      <c r="P18" s="69">
        <f>P17*1%</f>
        <v>12881.75</v>
      </c>
    </row>
    <row r="19" spans="1:16" ht="18" customHeight="1" thickBot="1" x14ac:dyDescent="0.25">
      <c r="A19" s="11"/>
      <c r="H19" s="63"/>
      <c r="N19" s="62" t="s">
        <v>54</v>
      </c>
      <c r="P19" s="71">
        <f>P17*2%</f>
        <v>25763.5</v>
      </c>
    </row>
    <row r="20" spans="1:16" ht="18" customHeight="1" x14ac:dyDescent="0.2">
      <c r="A20" s="11"/>
      <c r="H20" s="63"/>
      <c r="N20" s="66" t="s">
        <v>32</v>
      </c>
      <c r="O20" s="67"/>
      <c r="P20" s="70">
        <f>P17+P18-P19</f>
        <v>1275293.25</v>
      </c>
    </row>
    <row r="22" spans="1:16" x14ac:dyDescent="0.2">
      <c r="A22" s="11"/>
      <c r="H22" s="63"/>
      <c r="P22" s="71"/>
    </row>
    <row r="23" spans="1:16" x14ac:dyDescent="0.2">
      <c r="A23" s="11"/>
      <c r="H23" s="63"/>
      <c r="O23" s="58"/>
      <c r="P23" s="71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3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3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3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3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3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3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3"/>
      <c r="N35" s="15"/>
      <c r="O35" s="15"/>
      <c r="P35" s="15"/>
    </row>
  </sheetData>
  <mergeCells count="2">
    <mergeCell ref="A15:L15"/>
    <mergeCell ref="O15:P15"/>
  </mergeCells>
  <conditionalFormatting sqref="B3">
    <cfRule type="duplicateValues" dxfId="193" priority="2"/>
  </conditionalFormatting>
  <conditionalFormatting sqref="B4">
    <cfRule type="duplicateValues" dxfId="192" priority="1"/>
  </conditionalFormatting>
  <conditionalFormatting sqref="B5:B14">
    <cfRule type="duplicateValues" dxfId="191" priority="1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6" sqref="O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404042</v>
      </c>
      <c r="B3" s="74" t="s">
        <v>321</v>
      </c>
      <c r="C3" s="9" t="s">
        <v>322</v>
      </c>
      <c r="D3" s="76" t="s">
        <v>60</v>
      </c>
      <c r="E3" s="13">
        <v>44527</v>
      </c>
      <c r="F3" s="76" t="s">
        <v>214</v>
      </c>
      <c r="G3" s="13">
        <v>44531</v>
      </c>
      <c r="H3" s="10" t="s">
        <v>215</v>
      </c>
      <c r="I3" s="1">
        <v>54</v>
      </c>
      <c r="J3" s="1">
        <v>34</v>
      </c>
      <c r="K3" s="1">
        <v>13</v>
      </c>
      <c r="L3" s="1">
        <v>5</v>
      </c>
      <c r="M3" s="80">
        <v>5.9669999999999996</v>
      </c>
      <c r="N3" s="96">
        <v>5.9669999999999996</v>
      </c>
      <c r="O3" s="64">
        <v>7000</v>
      </c>
      <c r="P3" s="65">
        <f>Table224578910112345678910111213141516[[#This Row],[PEMBULATAN]]*O3</f>
        <v>41769</v>
      </c>
    </row>
    <row r="4" spans="1:16" ht="26.25" customHeight="1" x14ac:dyDescent="0.2">
      <c r="A4" s="14"/>
      <c r="B4" s="75"/>
      <c r="C4" s="9" t="s">
        <v>323</v>
      </c>
      <c r="D4" s="76" t="s">
        <v>60</v>
      </c>
      <c r="E4" s="13">
        <v>44527</v>
      </c>
      <c r="F4" s="76" t="s">
        <v>214</v>
      </c>
      <c r="G4" s="13">
        <v>44531</v>
      </c>
      <c r="H4" s="10" t="s">
        <v>215</v>
      </c>
      <c r="I4" s="1">
        <v>21</v>
      </c>
      <c r="J4" s="1">
        <v>26</v>
      </c>
      <c r="K4" s="1">
        <v>10</v>
      </c>
      <c r="L4" s="1">
        <v>20</v>
      </c>
      <c r="M4" s="80">
        <v>1.365</v>
      </c>
      <c r="N4" s="8">
        <v>21</v>
      </c>
      <c r="O4" s="64">
        <v>7000</v>
      </c>
      <c r="P4" s="65">
        <f>Table224578910112345678910111213141516[[#This Row],[PEMBULATAN]]*O4</f>
        <v>147000</v>
      </c>
    </row>
    <row r="5" spans="1:16" ht="22.5" customHeight="1" x14ac:dyDescent="0.2">
      <c r="A5" s="117" t="s">
        <v>30</v>
      </c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9"/>
      <c r="M5" s="79">
        <f>SUBTOTAL(109,Table224578910112345678910111213141516[KG VOLUME])</f>
        <v>7.3319999999999999</v>
      </c>
      <c r="N5" s="68">
        <f>SUM(N3:N4)</f>
        <v>26.966999999999999</v>
      </c>
      <c r="O5" s="120">
        <f>SUM(P3:P4)</f>
        <v>188769</v>
      </c>
      <c r="P5" s="121"/>
    </row>
    <row r="6" spans="1:16" ht="18" customHeight="1" x14ac:dyDescent="0.2">
      <c r="A6" s="86"/>
      <c r="B6" s="56" t="s">
        <v>42</v>
      </c>
      <c r="C6" s="55"/>
      <c r="D6" s="57" t="s">
        <v>43</v>
      </c>
      <c r="E6" s="86"/>
      <c r="F6" s="86"/>
      <c r="G6" s="86"/>
      <c r="H6" s="86"/>
      <c r="I6" s="86"/>
      <c r="J6" s="86"/>
      <c r="K6" s="86"/>
      <c r="L6" s="86"/>
      <c r="M6" s="87"/>
      <c r="N6" s="88" t="s">
        <v>52</v>
      </c>
      <c r="O6" s="89"/>
      <c r="P6" s="89">
        <v>0</v>
      </c>
    </row>
    <row r="7" spans="1:16" ht="18" customHeight="1" thickBot="1" x14ac:dyDescent="0.25">
      <c r="A7" s="86"/>
      <c r="B7" s="56"/>
      <c r="C7" s="55"/>
      <c r="D7" s="57"/>
      <c r="E7" s="86"/>
      <c r="F7" s="86"/>
      <c r="G7" s="86"/>
      <c r="H7" s="86"/>
      <c r="I7" s="86"/>
      <c r="J7" s="86"/>
      <c r="K7" s="86"/>
      <c r="L7" s="86"/>
      <c r="M7" s="87"/>
      <c r="N7" s="90" t="s">
        <v>53</v>
      </c>
      <c r="O7" s="91"/>
      <c r="P7" s="91">
        <f>O5-P6</f>
        <v>188769</v>
      </c>
    </row>
    <row r="8" spans="1:16" ht="18" customHeight="1" x14ac:dyDescent="0.2">
      <c r="A8" s="11"/>
      <c r="H8" s="63"/>
      <c r="N8" s="62" t="s">
        <v>31</v>
      </c>
      <c r="P8" s="69">
        <f>P7*1%</f>
        <v>1887.69</v>
      </c>
    </row>
    <row r="9" spans="1:16" ht="18" customHeight="1" thickBot="1" x14ac:dyDescent="0.25">
      <c r="A9" s="11"/>
      <c r="H9" s="63"/>
      <c r="N9" s="62" t="s">
        <v>54</v>
      </c>
      <c r="P9" s="71">
        <f>P7*2%</f>
        <v>3775.38</v>
      </c>
    </row>
    <row r="10" spans="1:16" ht="18" customHeight="1" x14ac:dyDescent="0.2">
      <c r="A10" s="11"/>
      <c r="H10" s="63"/>
      <c r="N10" s="66" t="s">
        <v>32</v>
      </c>
      <c r="O10" s="67"/>
      <c r="P10" s="70">
        <f>P7+P8-P9</f>
        <v>186881.31</v>
      </c>
    </row>
    <row r="12" spans="1:16" x14ac:dyDescent="0.2">
      <c r="A12" s="11"/>
      <c r="H12" s="63"/>
      <c r="P12" s="71"/>
    </row>
    <row r="13" spans="1:16" x14ac:dyDescent="0.2">
      <c r="A13" s="11"/>
      <c r="H13" s="63"/>
      <c r="O13" s="58"/>
      <c r="P13" s="71"/>
    </row>
    <row r="14" spans="1:16" s="3" customFormat="1" x14ac:dyDescent="0.25">
      <c r="A14" s="11"/>
      <c r="B14" s="2"/>
      <c r="C14" s="2"/>
      <c r="E14" s="12"/>
      <c r="H14" s="63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3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</sheetData>
  <mergeCells count="2">
    <mergeCell ref="A5:L5"/>
    <mergeCell ref="O5:P5"/>
  </mergeCells>
  <conditionalFormatting sqref="B3">
    <cfRule type="duplicateValues" dxfId="175" priority="2"/>
  </conditionalFormatting>
  <conditionalFormatting sqref="B4">
    <cfRule type="duplicateValues" dxfId="174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91"/>
  <sheetViews>
    <sheetView zoomScale="110" zoomScaleNormal="110" workbookViewId="0">
      <pane xSplit="3" ySplit="2" topLeftCell="D63" activePane="bottomRight" state="frozen"/>
      <selection pane="topRight" activeCell="B1" sqref="B1"/>
      <selection pane="bottomLeft" activeCell="A3" sqref="A3"/>
      <selection pane="bottomRight" activeCell="O72" sqref="O72"/>
    </sheetView>
  </sheetViews>
  <sheetFormatPr defaultRowHeight="15" x14ac:dyDescent="0.2"/>
  <cols>
    <col min="1" max="1" width="8" style="4" customWidth="1"/>
    <col min="2" max="2" width="19.5703125" style="2" customWidth="1"/>
    <col min="3" max="3" width="15.285156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403720</v>
      </c>
      <c r="B3" s="74" t="s">
        <v>324</v>
      </c>
      <c r="C3" s="9" t="s">
        <v>325</v>
      </c>
      <c r="D3" s="76" t="s">
        <v>60</v>
      </c>
      <c r="E3" s="13">
        <v>44527</v>
      </c>
      <c r="F3" s="76" t="s">
        <v>214</v>
      </c>
      <c r="G3" s="13">
        <v>44531</v>
      </c>
      <c r="H3" s="10" t="s">
        <v>215</v>
      </c>
      <c r="I3" s="1">
        <v>62</v>
      </c>
      <c r="J3" s="1">
        <v>36</v>
      </c>
      <c r="K3" s="1">
        <v>18</v>
      </c>
      <c r="L3" s="1">
        <v>10</v>
      </c>
      <c r="M3" s="80">
        <v>10.044</v>
      </c>
      <c r="N3" s="96">
        <v>10.044</v>
      </c>
      <c r="O3" s="64">
        <v>7000</v>
      </c>
      <c r="P3" s="65">
        <f>Table22457891011234567891011121314151617[[#This Row],[PEMBULATAN]]*O3</f>
        <v>70308</v>
      </c>
    </row>
    <row r="4" spans="1:16" ht="26.25" customHeight="1" x14ac:dyDescent="0.2">
      <c r="A4" s="14"/>
      <c r="B4" s="75"/>
      <c r="C4" s="73" t="s">
        <v>326</v>
      </c>
      <c r="D4" s="78" t="s">
        <v>60</v>
      </c>
      <c r="E4" s="13">
        <v>44527</v>
      </c>
      <c r="F4" s="76" t="s">
        <v>214</v>
      </c>
      <c r="G4" s="13">
        <v>44531</v>
      </c>
      <c r="H4" s="77" t="s">
        <v>215</v>
      </c>
      <c r="I4" s="16">
        <v>41</v>
      </c>
      <c r="J4" s="16">
        <v>28</v>
      </c>
      <c r="K4" s="16">
        <v>28</v>
      </c>
      <c r="L4" s="16">
        <v>14</v>
      </c>
      <c r="M4" s="81">
        <v>8.0359999999999996</v>
      </c>
      <c r="N4" s="96">
        <v>14</v>
      </c>
      <c r="O4" s="64">
        <v>7000</v>
      </c>
      <c r="P4" s="65">
        <f>Table22457891011234567891011121314151617[[#This Row],[PEMBULATAN]]*O4</f>
        <v>98000</v>
      </c>
    </row>
    <row r="5" spans="1:16" ht="26.25" customHeight="1" x14ac:dyDescent="0.2">
      <c r="A5" s="14"/>
      <c r="B5" s="75"/>
      <c r="C5" s="73" t="s">
        <v>327</v>
      </c>
      <c r="D5" s="78" t="s">
        <v>60</v>
      </c>
      <c r="E5" s="13">
        <v>44527</v>
      </c>
      <c r="F5" s="76" t="s">
        <v>214</v>
      </c>
      <c r="G5" s="13">
        <v>44531</v>
      </c>
      <c r="H5" s="77" t="s">
        <v>215</v>
      </c>
      <c r="I5" s="16">
        <v>34</v>
      </c>
      <c r="J5" s="16">
        <v>20</v>
      </c>
      <c r="K5" s="16">
        <v>17</v>
      </c>
      <c r="L5" s="16">
        <v>7</v>
      </c>
      <c r="M5" s="81">
        <v>2.89</v>
      </c>
      <c r="N5" s="96">
        <v>7</v>
      </c>
      <c r="O5" s="64">
        <v>7000</v>
      </c>
      <c r="P5" s="65">
        <f>Table22457891011234567891011121314151617[[#This Row],[PEMBULATAN]]*O5</f>
        <v>49000</v>
      </c>
    </row>
    <row r="6" spans="1:16" ht="26.25" customHeight="1" x14ac:dyDescent="0.2">
      <c r="A6" s="14"/>
      <c r="B6" s="75"/>
      <c r="C6" s="73" t="s">
        <v>328</v>
      </c>
      <c r="D6" s="78" t="s">
        <v>60</v>
      </c>
      <c r="E6" s="13">
        <v>44527</v>
      </c>
      <c r="F6" s="76" t="s">
        <v>214</v>
      </c>
      <c r="G6" s="13">
        <v>44531</v>
      </c>
      <c r="H6" s="77" t="s">
        <v>215</v>
      </c>
      <c r="I6" s="16">
        <v>99</v>
      </c>
      <c r="J6" s="16">
        <v>35</v>
      </c>
      <c r="K6" s="16">
        <v>52</v>
      </c>
      <c r="L6" s="16">
        <v>15</v>
      </c>
      <c r="M6" s="81">
        <v>45.045000000000002</v>
      </c>
      <c r="N6" s="96">
        <v>45.045000000000002</v>
      </c>
      <c r="O6" s="64">
        <v>7000</v>
      </c>
      <c r="P6" s="65">
        <f>Table22457891011234567891011121314151617[[#This Row],[PEMBULATAN]]*O6</f>
        <v>315315</v>
      </c>
    </row>
    <row r="7" spans="1:16" ht="26.25" customHeight="1" x14ac:dyDescent="0.2">
      <c r="A7" s="14"/>
      <c r="B7" s="75"/>
      <c r="C7" s="73" t="s">
        <v>329</v>
      </c>
      <c r="D7" s="78" t="s">
        <v>60</v>
      </c>
      <c r="E7" s="13">
        <v>44527</v>
      </c>
      <c r="F7" s="76" t="s">
        <v>214</v>
      </c>
      <c r="G7" s="13">
        <v>44531</v>
      </c>
      <c r="H7" s="77" t="s">
        <v>215</v>
      </c>
      <c r="I7" s="16">
        <v>57</v>
      </c>
      <c r="J7" s="16">
        <v>40</v>
      </c>
      <c r="K7" s="16">
        <v>20</v>
      </c>
      <c r="L7" s="16">
        <v>9</v>
      </c>
      <c r="M7" s="81">
        <v>11.4</v>
      </c>
      <c r="N7" s="96">
        <v>12</v>
      </c>
      <c r="O7" s="64">
        <v>7000</v>
      </c>
      <c r="P7" s="65">
        <f>Table22457891011234567891011121314151617[[#This Row],[PEMBULATAN]]*O7</f>
        <v>84000</v>
      </c>
    </row>
    <row r="8" spans="1:16" ht="26.25" customHeight="1" x14ac:dyDescent="0.2">
      <c r="A8" s="14"/>
      <c r="B8" s="75"/>
      <c r="C8" s="73" t="s">
        <v>330</v>
      </c>
      <c r="D8" s="78" t="s">
        <v>60</v>
      </c>
      <c r="E8" s="13">
        <v>44527</v>
      </c>
      <c r="F8" s="76" t="s">
        <v>214</v>
      </c>
      <c r="G8" s="13">
        <v>44531</v>
      </c>
      <c r="H8" s="77" t="s">
        <v>215</v>
      </c>
      <c r="I8" s="16">
        <v>45</v>
      </c>
      <c r="J8" s="16">
        <v>34</v>
      </c>
      <c r="K8" s="16">
        <v>30</v>
      </c>
      <c r="L8" s="16">
        <v>7</v>
      </c>
      <c r="M8" s="81">
        <v>11.475</v>
      </c>
      <c r="N8" s="96">
        <v>12</v>
      </c>
      <c r="O8" s="64">
        <v>7000</v>
      </c>
      <c r="P8" s="65">
        <f>Table22457891011234567891011121314151617[[#This Row],[PEMBULATAN]]*O8</f>
        <v>84000</v>
      </c>
    </row>
    <row r="9" spans="1:16" ht="26.25" customHeight="1" x14ac:dyDescent="0.2">
      <c r="A9" s="14"/>
      <c r="B9" s="75"/>
      <c r="C9" s="73" t="s">
        <v>331</v>
      </c>
      <c r="D9" s="78" t="s">
        <v>60</v>
      </c>
      <c r="E9" s="13">
        <v>44527</v>
      </c>
      <c r="F9" s="76" t="s">
        <v>214</v>
      </c>
      <c r="G9" s="13">
        <v>44531</v>
      </c>
      <c r="H9" s="77" t="s">
        <v>215</v>
      </c>
      <c r="I9" s="16">
        <v>58</v>
      </c>
      <c r="J9" s="16">
        <v>45</v>
      </c>
      <c r="K9" s="16">
        <v>45</v>
      </c>
      <c r="L9" s="16">
        <v>15</v>
      </c>
      <c r="M9" s="81">
        <v>29.362500000000001</v>
      </c>
      <c r="N9" s="96">
        <v>30</v>
      </c>
      <c r="O9" s="64">
        <v>7000</v>
      </c>
      <c r="P9" s="65">
        <f>Table22457891011234567891011121314151617[[#This Row],[PEMBULATAN]]*O9</f>
        <v>210000</v>
      </c>
    </row>
    <row r="10" spans="1:16" ht="26.25" customHeight="1" x14ac:dyDescent="0.2">
      <c r="A10" s="14"/>
      <c r="B10" s="75"/>
      <c r="C10" s="73" t="s">
        <v>332</v>
      </c>
      <c r="D10" s="78" t="s">
        <v>60</v>
      </c>
      <c r="E10" s="13">
        <v>44527</v>
      </c>
      <c r="F10" s="76" t="s">
        <v>214</v>
      </c>
      <c r="G10" s="13">
        <v>44531</v>
      </c>
      <c r="H10" s="77" t="s">
        <v>215</v>
      </c>
      <c r="I10" s="16">
        <v>66</v>
      </c>
      <c r="J10" s="16">
        <v>82</v>
      </c>
      <c r="K10" s="16">
        <v>33</v>
      </c>
      <c r="L10" s="16">
        <v>20</v>
      </c>
      <c r="M10" s="81">
        <v>44.649000000000001</v>
      </c>
      <c r="N10" s="96">
        <v>44.649000000000001</v>
      </c>
      <c r="O10" s="64">
        <v>7000</v>
      </c>
      <c r="P10" s="65">
        <f>Table22457891011234567891011121314151617[[#This Row],[PEMBULATAN]]*O10</f>
        <v>312543</v>
      </c>
    </row>
    <row r="11" spans="1:16" ht="26.25" customHeight="1" x14ac:dyDescent="0.2">
      <c r="A11" s="14"/>
      <c r="B11" s="75"/>
      <c r="C11" s="73" t="s">
        <v>333</v>
      </c>
      <c r="D11" s="78" t="s">
        <v>60</v>
      </c>
      <c r="E11" s="13">
        <v>44527</v>
      </c>
      <c r="F11" s="76" t="s">
        <v>214</v>
      </c>
      <c r="G11" s="13">
        <v>44531</v>
      </c>
      <c r="H11" s="77" t="s">
        <v>215</v>
      </c>
      <c r="I11" s="16">
        <v>118</v>
      </c>
      <c r="J11" s="16">
        <v>37</v>
      </c>
      <c r="K11" s="16">
        <v>10</v>
      </c>
      <c r="L11" s="16">
        <v>10</v>
      </c>
      <c r="M11" s="81">
        <v>10.914999999999999</v>
      </c>
      <c r="N11" s="96">
        <v>10.914999999999999</v>
      </c>
      <c r="O11" s="64">
        <v>7000</v>
      </c>
      <c r="P11" s="65">
        <f>Table22457891011234567891011121314151617[[#This Row],[PEMBULATAN]]*O11</f>
        <v>76405</v>
      </c>
    </row>
    <row r="12" spans="1:16" ht="26.25" customHeight="1" x14ac:dyDescent="0.2">
      <c r="A12" s="14"/>
      <c r="B12" s="75"/>
      <c r="C12" s="73" t="s">
        <v>334</v>
      </c>
      <c r="D12" s="78" t="s">
        <v>60</v>
      </c>
      <c r="E12" s="13">
        <v>44527</v>
      </c>
      <c r="F12" s="76" t="s">
        <v>214</v>
      </c>
      <c r="G12" s="13">
        <v>44531</v>
      </c>
      <c r="H12" s="77" t="s">
        <v>215</v>
      </c>
      <c r="I12" s="16">
        <v>80</v>
      </c>
      <c r="J12" s="16">
        <v>34</v>
      </c>
      <c r="K12" s="16">
        <v>20</v>
      </c>
      <c r="L12" s="16">
        <v>7</v>
      </c>
      <c r="M12" s="81">
        <v>13.6</v>
      </c>
      <c r="N12" s="96">
        <v>13.6</v>
      </c>
      <c r="O12" s="64">
        <v>7000</v>
      </c>
      <c r="P12" s="65">
        <f>Table22457891011234567891011121314151617[[#This Row],[PEMBULATAN]]*O12</f>
        <v>95200</v>
      </c>
    </row>
    <row r="13" spans="1:16" ht="26.25" customHeight="1" x14ac:dyDescent="0.2">
      <c r="A13" s="14"/>
      <c r="B13" s="75"/>
      <c r="C13" s="73" t="s">
        <v>335</v>
      </c>
      <c r="D13" s="78" t="s">
        <v>60</v>
      </c>
      <c r="E13" s="13">
        <v>44527</v>
      </c>
      <c r="F13" s="76" t="s">
        <v>214</v>
      </c>
      <c r="G13" s="13">
        <v>44531</v>
      </c>
      <c r="H13" s="77" t="s">
        <v>215</v>
      </c>
      <c r="I13" s="16">
        <v>52</v>
      </c>
      <c r="J13" s="16">
        <v>20</v>
      </c>
      <c r="K13" s="16">
        <v>22</v>
      </c>
      <c r="L13" s="16">
        <v>7</v>
      </c>
      <c r="M13" s="81">
        <v>5.72</v>
      </c>
      <c r="N13" s="96">
        <v>7</v>
      </c>
      <c r="O13" s="64">
        <v>7000</v>
      </c>
      <c r="P13" s="65">
        <f>Table22457891011234567891011121314151617[[#This Row],[PEMBULATAN]]*O13</f>
        <v>49000</v>
      </c>
    </row>
    <row r="14" spans="1:16" ht="26.25" customHeight="1" x14ac:dyDescent="0.2">
      <c r="A14" s="14"/>
      <c r="B14" s="75"/>
      <c r="C14" s="73" t="s">
        <v>336</v>
      </c>
      <c r="D14" s="78" t="s">
        <v>60</v>
      </c>
      <c r="E14" s="13">
        <v>44527</v>
      </c>
      <c r="F14" s="76" t="s">
        <v>214</v>
      </c>
      <c r="G14" s="13">
        <v>44531</v>
      </c>
      <c r="H14" s="77" t="s">
        <v>215</v>
      </c>
      <c r="I14" s="16">
        <v>52</v>
      </c>
      <c r="J14" s="16">
        <v>20</v>
      </c>
      <c r="K14" s="16">
        <v>22</v>
      </c>
      <c r="L14" s="16">
        <v>8</v>
      </c>
      <c r="M14" s="81">
        <v>5.72</v>
      </c>
      <c r="N14" s="96">
        <v>8</v>
      </c>
      <c r="O14" s="64">
        <v>7000</v>
      </c>
      <c r="P14" s="65">
        <f>Table22457891011234567891011121314151617[[#This Row],[PEMBULATAN]]*O14</f>
        <v>56000</v>
      </c>
    </row>
    <row r="15" spans="1:16" ht="26.25" customHeight="1" x14ac:dyDescent="0.2">
      <c r="A15" s="14"/>
      <c r="B15" s="75"/>
      <c r="C15" s="73" t="s">
        <v>337</v>
      </c>
      <c r="D15" s="78" t="s">
        <v>60</v>
      </c>
      <c r="E15" s="13">
        <v>44527</v>
      </c>
      <c r="F15" s="76" t="s">
        <v>214</v>
      </c>
      <c r="G15" s="13">
        <v>44531</v>
      </c>
      <c r="H15" s="77" t="s">
        <v>215</v>
      </c>
      <c r="I15" s="16">
        <v>52</v>
      </c>
      <c r="J15" s="16">
        <v>20</v>
      </c>
      <c r="K15" s="16">
        <v>22</v>
      </c>
      <c r="L15" s="16">
        <v>8</v>
      </c>
      <c r="M15" s="81">
        <v>5.72</v>
      </c>
      <c r="N15" s="96">
        <v>8</v>
      </c>
      <c r="O15" s="64">
        <v>7000</v>
      </c>
      <c r="P15" s="65">
        <f>Table22457891011234567891011121314151617[[#This Row],[PEMBULATAN]]*O15</f>
        <v>56000</v>
      </c>
    </row>
    <row r="16" spans="1:16" ht="26.25" customHeight="1" x14ac:dyDescent="0.2">
      <c r="A16" s="14"/>
      <c r="B16" s="75"/>
      <c r="C16" s="73" t="s">
        <v>338</v>
      </c>
      <c r="D16" s="78" t="s">
        <v>60</v>
      </c>
      <c r="E16" s="13">
        <v>44527</v>
      </c>
      <c r="F16" s="76" t="s">
        <v>214</v>
      </c>
      <c r="G16" s="13">
        <v>44531</v>
      </c>
      <c r="H16" s="77" t="s">
        <v>215</v>
      </c>
      <c r="I16" s="16">
        <v>52</v>
      </c>
      <c r="J16" s="16">
        <v>20</v>
      </c>
      <c r="K16" s="16">
        <v>22</v>
      </c>
      <c r="L16" s="16">
        <v>7</v>
      </c>
      <c r="M16" s="81">
        <v>5.72</v>
      </c>
      <c r="N16" s="96">
        <v>7</v>
      </c>
      <c r="O16" s="64">
        <v>7000</v>
      </c>
      <c r="P16" s="65">
        <f>Table22457891011234567891011121314151617[[#This Row],[PEMBULATAN]]*O16</f>
        <v>49000</v>
      </c>
    </row>
    <row r="17" spans="1:16" ht="26.25" customHeight="1" x14ac:dyDescent="0.2">
      <c r="A17" s="14"/>
      <c r="B17" s="75"/>
      <c r="C17" s="73" t="s">
        <v>339</v>
      </c>
      <c r="D17" s="78" t="s">
        <v>60</v>
      </c>
      <c r="E17" s="13">
        <v>44527</v>
      </c>
      <c r="F17" s="76" t="s">
        <v>214</v>
      </c>
      <c r="G17" s="13">
        <v>44531</v>
      </c>
      <c r="H17" s="77" t="s">
        <v>215</v>
      </c>
      <c r="I17" s="16">
        <v>52</v>
      </c>
      <c r="J17" s="16">
        <v>20</v>
      </c>
      <c r="K17" s="16">
        <v>22</v>
      </c>
      <c r="L17" s="16">
        <v>8</v>
      </c>
      <c r="M17" s="81">
        <v>5.72</v>
      </c>
      <c r="N17" s="96">
        <v>8</v>
      </c>
      <c r="O17" s="64">
        <v>7000</v>
      </c>
      <c r="P17" s="65">
        <f>Table22457891011234567891011121314151617[[#This Row],[PEMBULATAN]]*O17</f>
        <v>56000</v>
      </c>
    </row>
    <row r="18" spans="1:16" ht="26.25" customHeight="1" x14ac:dyDescent="0.2">
      <c r="A18" s="14"/>
      <c r="B18" s="75"/>
      <c r="C18" s="73" t="s">
        <v>340</v>
      </c>
      <c r="D18" s="78" t="s">
        <v>60</v>
      </c>
      <c r="E18" s="13">
        <v>44527</v>
      </c>
      <c r="F18" s="76" t="s">
        <v>214</v>
      </c>
      <c r="G18" s="13">
        <v>44531</v>
      </c>
      <c r="H18" s="77" t="s">
        <v>215</v>
      </c>
      <c r="I18" s="16">
        <v>45</v>
      </c>
      <c r="J18" s="16">
        <v>45</v>
      </c>
      <c r="K18" s="16">
        <v>53</v>
      </c>
      <c r="L18" s="16">
        <v>15</v>
      </c>
      <c r="M18" s="81">
        <v>26.831250000000001</v>
      </c>
      <c r="N18" s="96">
        <v>26.831250000000001</v>
      </c>
      <c r="O18" s="64">
        <v>7000</v>
      </c>
      <c r="P18" s="65">
        <f>Table22457891011234567891011121314151617[[#This Row],[PEMBULATAN]]*O18</f>
        <v>187818.75</v>
      </c>
    </row>
    <row r="19" spans="1:16" ht="26.25" customHeight="1" x14ac:dyDescent="0.2">
      <c r="A19" s="14"/>
      <c r="B19" s="75"/>
      <c r="C19" s="73" t="s">
        <v>341</v>
      </c>
      <c r="D19" s="78" t="s">
        <v>60</v>
      </c>
      <c r="E19" s="13">
        <v>44527</v>
      </c>
      <c r="F19" s="76" t="s">
        <v>214</v>
      </c>
      <c r="G19" s="13">
        <v>44531</v>
      </c>
      <c r="H19" s="77" t="s">
        <v>215</v>
      </c>
      <c r="I19" s="16">
        <v>84</v>
      </c>
      <c r="J19" s="16">
        <v>20</v>
      </c>
      <c r="K19" s="16">
        <v>56</v>
      </c>
      <c r="L19" s="16">
        <v>9</v>
      </c>
      <c r="M19" s="81">
        <v>23.52</v>
      </c>
      <c r="N19" s="96">
        <v>23.52</v>
      </c>
      <c r="O19" s="64">
        <v>7000</v>
      </c>
      <c r="P19" s="65">
        <f>Table22457891011234567891011121314151617[[#This Row],[PEMBULATAN]]*O19</f>
        <v>164640</v>
      </c>
    </row>
    <row r="20" spans="1:16" ht="26.25" customHeight="1" x14ac:dyDescent="0.2">
      <c r="A20" s="14"/>
      <c r="B20" s="75"/>
      <c r="C20" s="73" t="s">
        <v>342</v>
      </c>
      <c r="D20" s="78" t="s">
        <v>60</v>
      </c>
      <c r="E20" s="13">
        <v>44527</v>
      </c>
      <c r="F20" s="76" t="s">
        <v>214</v>
      </c>
      <c r="G20" s="13">
        <v>44531</v>
      </c>
      <c r="H20" s="77" t="s">
        <v>215</v>
      </c>
      <c r="I20" s="16">
        <v>52</v>
      </c>
      <c r="J20" s="16">
        <v>20</v>
      </c>
      <c r="K20" s="16">
        <v>22</v>
      </c>
      <c r="L20" s="16">
        <v>8</v>
      </c>
      <c r="M20" s="81">
        <v>5.72</v>
      </c>
      <c r="N20" s="96">
        <v>8</v>
      </c>
      <c r="O20" s="64">
        <v>7000</v>
      </c>
      <c r="P20" s="65">
        <f>Table22457891011234567891011121314151617[[#This Row],[PEMBULATAN]]*O20</f>
        <v>56000</v>
      </c>
    </row>
    <row r="21" spans="1:16" ht="26.25" customHeight="1" x14ac:dyDescent="0.2">
      <c r="A21" s="14"/>
      <c r="B21" s="75"/>
      <c r="C21" s="73" t="s">
        <v>343</v>
      </c>
      <c r="D21" s="78" t="s">
        <v>60</v>
      </c>
      <c r="E21" s="13">
        <v>44527</v>
      </c>
      <c r="F21" s="76" t="s">
        <v>214</v>
      </c>
      <c r="G21" s="13">
        <v>44531</v>
      </c>
      <c r="H21" s="77" t="s">
        <v>215</v>
      </c>
      <c r="I21" s="16">
        <v>48</v>
      </c>
      <c r="J21" s="16">
        <v>36</v>
      </c>
      <c r="K21" s="16">
        <v>23</v>
      </c>
      <c r="L21" s="16">
        <v>11</v>
      </c>
      <c r="M21" s="81">
        <v>9.9359999999999999</v>
      </c>
      <c r="N21" s="96">
        <v>11</v>
      </c>
      <c r="O21" s="64">
        <v>7000</v>
      </c>
      <c r="P21" s="65">
        <f>Table22457891011234567891011121314151617[[#This Row],[PEMBULATAN]]*O21</f>
        <v>77000</v>
      </c>
    </row>
    <row r="22" spans="1:16" ht="26.25" customHeight="1" x14ac:dyDescent="0.2">
      <c r="A22" s="14"/>
      <c r="B22" s="75"/>
      <c r="C22" s="73" t="s">
        <v>344</v>
      </c>
      <c r="D22" s="78" t="s">
        <v>60</v>
      </c>
      <c r="E22" s="13">
        <v>44527</v>
      </c>
      <c r="F22" s="76" t="s">
        <v>214</v>
      </c>
      <c r="G22" s="13">
        <v>44531</v>
      </c>
      <c r="H22" s="77" t="s">
        <v>215</v>
      </c>
      <c r="I22" s="16">
        <v>35</v>
      </c>
      <c r="J22" s="16">
        <v>27</v>
      </c>
      <c r="K22" s="16">
        <v>22</v>
      </c>
      <c r="L22" s="16">
        <v>6</v>
      </c>
      <c r="M22" s="81">
        <v>5.1974999999999998</v>
      </c>
      <c r="N22" s="96">
        <v>6</v>
      </c>
      <c r="O22" s="64">
        <v>7000</v>
      </c>
      <c r="P22" s="65">
        <f>Table22457891011234567891011121314151617[[#This Row],[PEMBULATAN]]*O22</f>
        <v>42000</v>
      </c>
    </row>
    <row r="23" spans="1:16" ht="26.25" customHeight="1" x14ac:dyDescent="0.2">
      <c r="A23" s="14"/>
      <c r="B23" s="75"/>
      <c r="C23" s="73" t="s">
        <v>345</v>
      </c>
      <c r="D23" s="78" t="s">
        <v>60</v>
      </c>
      <c r="E23" s="13">
        <v>44527</v>
      </c>
      <c r="F23" s="76" t="s">
        <v>214</v>
      </c>
      <c r="G23" s="13">
        <v>44531</v>
      </c>
      <c r="H23" s="77" t="s">
        <v>215</v>
      </c>
      <c r="I23" s="16">
        <v>50</v>
      </c>
      <c r="J23" s="16">
        <v>34</v>
      </c>
      <c r="K23" s="16">
        <v>15</v>
      </c>
      <c r="L23" s="16">
        <v>8</v>
      </c>
      <c r="M23" s="81">
        <v>6.375</v>
      </c>
      <c r="N23" s="96">
        <v>9</v>
      </c>
      <c r="O23" s="64">
        <v>7000</v>
      </c>
      <c r="P23" s="65">
        <f>Table22457891011234567891011121314151617[[#This Row],[PEMBULATAN]]*O23</f>
        <v>63000</v>
      </c>
    </row>
    <row r="24" spans="1:16" ht="26.25" customHeight="1" x14ac:dyDescent="0.2">
      <c r="A24" s="14"/>
      <c r="B24" s="75"/>
      <c r="C24" s="73" t="s">
        <v>346</v>
      </c>
      <c r="D24" s="78" t="s">
        <v>60</v>
      </c>
      <c r="E24" s="13">
        <v>44527</v>
      </c>
      <c r="F24" s="76" t="s">
        <v>214</v>
      </c>
      <c r="G24" s="13">
        <v>44531</v>
      </c>
      <c r="H24" s="77" t="s">
        <v>215</v>
      </c>
      <c r="I24" s="16">
        <v>68</v>
      </c>
      <c r="J24" s="16">
        <v>33</v>
      </c>
      <c r="K24" s="16">
        <v>15</v>
      </c>
      <c r="L24" s="16">
        <v>4</v>
      </c>
      <c r="M24" s="81">
        <v>8.4149999999999991</v>
      </c>
      <c r="N24" s="96">
        <v>9</v>
      </c>
      <c r="O24" s="64">
        <v>7000</v>
      </c>
      <c r="P24" s="65">
        <f>Table22457891011234567891011121314151617[[#This Row],[PEMBULATAN]]*O24</f>
        <v>63000</v>
      </c>
    </row>
    <row r="25" spans="1:16" ht="26.25" customHeight="1" x14ac:dyDescent="0.2">
      <c r="A25" s="14"/>
      <c r="B25" s="75"/>
      <c r="C25" s="73" t="s">
        <v>347</v>
      </c>
      <c r="D25" s="78" t="s">
        <v>60</v>
      </c>
      <c r="E25" s="13">
        <v>44527</v>
      </c>
      <c r="F25" s="76" t="s">
        <v>214</v>
      </c>
      <c r="G25" s="13">
        <v>44531</v>
      </c>
      <c r="H25" s="77" t="s">
        <v>215</v>
      </c>
      <c r="I25" s="16">
        <v>41</v>
      </c>
      <c r="J25" s="16">
        <v>31</v>
      </c>
      <c r="K25" s="16">
        <v>8</v>
      </c>
      <c r="L25" s="16">
        <v>6</v>
      </c>
      <c r="M25" s="81">
        <v>2.5419999999999998</v>
      </c>
      <c r="N25" s="96">
        <v>6</v>
      </c>
      <c r="O25" s="64">
        <v>7000</v>
      </c>
      <c r="P25" s="65">
        <f>Table22457891011234567891011121314151617[[#This Row],[PEMBULATAN]]*O25</f>
        <v>42000</v>
      </c>
    </row>
    <row r="26" spans="1:16" ht="26.25" customHeight="1" x14ac:dyDescent="0.2">
      <c r="A26" s="14"/>
      <c r="B26" s="75"/>
      <c r="C26" s="73" t="s">
        <v>348</v>
      </c>
      <c r="D26" s="78" t="s">
        <v>60</v>
      </c>
      <c r="E26" s="13">
        <v>44527</v>
      </c>
      <c r="F26" s="76" t="s">
        <v>214</v>
      </c>
      <c r="G26" s="13">
        <v>44531</v>
      </c>
      <c r="H26" s="77" t="s">
        <v>215</v>
      </c>
      <c r="I26" s="16">
        <v>57</v>
      </c>
      <c r="J26" s="16">
        <v>33</v>
      </c>
      <c r="K26" s="16">
        <v>30</v>
      </c>
      <c r="L26" s="16">
        <v>9</v>
      </c>
      <c r="M26" s="81">
        <v>14.1075</v>
      </c>
      <c r="N26" s="96">
        <v>14.1075</v>
      </c>
      <c r="O26" s="64">
        <v>7000</v>
      </c>
      <c r="P26" s="65">
        <f>Table22457891011234567891011121314151617[[#This Row],[PEMBULATAN]]*O26</f>
        <v>98752.5</v>
      </c>
    </row>
    <row r="27" spans="1:16" ht="26.25" customHeight="1" x14ac:dyDescent="0.2">
      <c r="A27" s="14"/>
      <c r="B27" s="75"/>
      <c r="C27" s="73" t="s">
        <v>349</v>
      </c>
      <c r="D27" s="78" t="s">
        <v>60</v>
      </c>
      <c r="E27" s="13">
        <v>44527</v>
      </c>
      <c r="F27" s="76" t="s">
        <v>214</v>
      </c>
      <c r="G27" s="13">
        <v>44531</v>
      </c>
      <c r="H27" s="77" t="s">
        <v>215</v>
      </c>
      <c r="I27" s="16">
        <v>60</v>
      </c>
      <c r="J27" s="16">
        <v>38</v>
      </c>
      <c r="K27" s="16">
        <v>17</v>
      </c>
      <c r="L27" s="16">
        <v>9</v>
      </c>
      <c r="M27" s="81">
        <v>9.69</v>
      </c>
      <c r="N27" s="96">
        <v>9.69</v>
      </c>
      <c r="O27" s="64">
        <v>7000</v>
      </c>
      <c r="P27" s="65">
        <f>Table22457891011234567891011121314151617[[#This Row],[PEMBULATAN]]*O27</f>
        <v>67830</v>
      </c>
    </row>
    <row r="28" spans="1:16" ht="26.25" customHeight="1" x14ac:dyDescent="0.2">
      <c r="A28" s="14"/>
      <c r="B28" s="75"/>
      <c r="C28" s="73" t="s">
        <v>350</v>
      </c>
      <c r="D28" s="78" t="s">
        <v>60</v>
      </c>
      <c r="E28" s="13">
        <v>44527</v>
      </c>
      <c r="F28" s="76" t="s">
        <v>214</v>
      </c>
      <c r="G28" s="13">
        <v>44531</v>
      </c>
      <c r="H28" s="77" t="s">
        <v>215</v>
      </c>
      <c r="I28" s="16">
        <v>33</v>
      </c>
      <c r="J28" s="16">
        <v>26</v>
      </c>
      <c r="K28" s="16">
        <v>44</v>
      </c>
      <c r="L28" s="16">
        <v>20</v>
      </c>
      <c r="M28" s="81">
        <v>9.4380000000000006</v>
      </c>
      <c r="N28" s="96">
        <v>21</v>
      </c>
      <c r="O28" s="64">
        <v>7000</v>
      </c>
      <c r="P28" s="65">
        <f>Table22457891011234567891011121314151617[[#This Row],[PEMBULATAN]]*O28</f>
        <v>147000</v>
      </c>
    </row>
    <row r="29" spans="1:16" ht="26.25" customHeight="1" x14ac:dyDescent="0.2">
      <c r="A29" s="14"/>
      <c r="B29" s="75"/>
      <c r="C29" s="73" t="s">
        <v>351</v>
      </c>
      <c r="D29" s="78" t="s">
        <v>60</v>
      </c>
      <c r="E29" s="13">
        <v>44527</v>
      </c>
      <c r="F29" s="76" t="s">
        <v>214</v>
      </c>
      <c r="G29" s="13">
        <v>44531</v>
      </c>
      <c r="H29" s="77" t="s">
        <v>215</v>
      </c>
      <c r="I29" s="16">
        <v>38</v>
      </c>
      <c r="J29" s="16">
        <v>38</v>
      </c>
      <c r="K29" s="16">
        <v>24</v>
      </c>
      <c r="L29" s="16">
        <v>4</v>
      </c>
      <c r="M29" s="81">
        <v>8.6639999999999997</v>
      </c>
      <c r="N29" s="96">
        <v>8.6639999999999997</v>
      </c>
      <c r="O29" s="64">
        <v>7000</v>
      </c>
      <c r="P29" s="65">
        <f>Table22457891011234567891011121314151617[[#This Row],[PEMBULATAN]]*O29</f>
        <v>60648</v>
      </c>
    </row>
    <row r="30" spans="1:16" ht="26.25" customHeight="1" x14ac:dyDescent="0.2">
      <c r="A30" s="14"/>
      <c r="B30" s="75"/>
      <c r="C30" s="73" t="s">
        <v>352</v>
      </c>
      <c r="D30" s="78" t="s">
        <v>60</v>
      </c>
      <c r="E30" s="13">
        <v>44527</v>
      </c>
      <c r="F30" s="76" t="s">
        <v>214</v>
      </c>
      <c r="G30" s="13">
        <v>44531</v>
      </c>
      <c r="H30" s="77" t="s">
        <v>215</v>
      </c>
      <c r="I30" s="16">
        <v>42</v>
      </c>
      <c r="J30" s="16">
        <v>27</v>
      </c>
      <c r="K30" s="16">
        <v>22</v>
      </c>
      <c r="L30" s="16">
        <v>5</v>
      </c>
      <c r="M30" s="81">
        <v>6.2370000000000001</v>
      </c>
      <c r="N30" s="96">
        <v>6.2370000000000001</v>
      </c>
      <c r="O30" s="64">
        <v>7000</v>
      </c>
      <c r="P30" s="65">
        <f>Table22457891011234567891011121314151617[[#This Row],[PEMBULATAN]]*O30</f>
        <v>43659</v>
      </c>
    </row>
    <row r="31" spans="1:16" ht="26.25" customHeight="1" x14ac:dyDescent="0.2">
      <c r="A31" s="14"/>
      <c r="B31" s="75"/>
      <c r="C31" s="73" t="s">
        <v>353</v>
      </c>
      <c r="D31" s="78" t="s">
        <v>60</v>
      </c>
      <c r="E31" s="13">
        <v>44527</v>
      </c>
      <c r="F31" s="76" t="s">
        <v>214</v>
      </c>
      <c r="G31" s="13">
        <v>44531</v>
      </c>
      <c r="H31" s="77" t="s">
        <v>215</v>
      </c>
      <c r="I31" s="16">
        <v>63</v>
      </c>
      <c r="J31" s="16">
        <v>42</v>
      </c>
      <c r="K31" s="16">
        <v>23</v>
      </c>
      <c r="L31" s="16">
        <v>6</v>
      </c>
      <c r="M31" s="81">
        <v>15.214499999999999</v>
      </c>
      <c r="N31" s="96">
        <v>15.214499999999999</v>
      </c>
      <c r="O31" s="64">
        <v>7000</v>
      </c>
      <c r="P31" s="65">
        <f>Table22457891011234567891011121314151617[[#This Row],[PEMBULATAN]]*O31</f>
        <v>106501.5</v>
      </c>
    </row>
    <row r="32" spans="1:16" ht="26.25" customHeight="1" x14ac:dyDescent="0.2">
      <c r="A32" s="14"/>
      <c r="B32" s="75"/>
      <c r="C32" s="73" t="s">
        <v>354</v>
      </c>
      <c r="D32" s="78" t="s">
        <v>60</v>
      </c>
      <c r="E32" s="13">
        <v>44527</v>
      </c>
      <c r="F32" s="76" t="s">
        <v>214</v>
      </c>
      <c r="G32" s="13">
        <v>44531</v>
      </c>
      <c r="H32" s="77" t="s">
        <v>215</v>
      </c>
      <c r="I32" s="16">
        <v>42</v>
      </c>
      <c r="J32" s="16">
        <v>42</v>
      </c>
      <c r="K32" s="16">
        <v>23</v>
      </c>
      <c r="L32" s="16">
        <v>9</v>
      </c>
      <c r="M32" s="81">
        <v>10.143000000000001</v>
      </c>
      <c r="N32" s="96">
        <v>10.143000000000001</v>
      </c>
      <c r="O32" s="64">
        <v>7000</v>
      </c>
      <c r="P32" s="65">
        <f>Table22457891011234567891011121314151617[[#This Row],[PEMBULATAN]]*O32</f>
        <v>71001</v>
      </c>
    </row>
    <row r="33" spans="1:16" ht="26.25" customHeight="1" x14ac:dyDescent="0.2">
      <c r="A33" s="14"/>
      <c r="B33" s="99"/>
      <c r="C33" s="73" t="s">
        <v>355</v>
      </c>
      <c r="D33" s="78" t="s">
        <v>60</v>
      </c>
      <c r="E33" s="13">
        <v>44527</v>
      </c>
      <c r="F33" s="76" t="s">
        <v>214</v>
      </c>
      <c r="G33" s="13">
        <v>44531</v>
      </c>
      <c r="H33" s="77" t="s">
        <v>215</v>
      </c>
      <c r="I33" s="16">
        <v>65</v>
      </c>
      <c r="J33" s="16">
        <v>34</v>
      </c>
      <c r="K33" s="16">
        <v>23</v>
      </c>
      <c r="L33" s="16">
        <v>6</v>
      </c>
      <c r="M33" s="81">
        <v>12.7075</v>
      </c>
      <c r="N33" s="96">
        <v>12.7075</v>
      </c>
      <c r="O33" s="64">
        <v>7000</v>
      </c>
      <c r="P33" s="65">
        <f>Table22457891011234567891011121314151617[[#This Row],[PEMBULATAN]]*O33</f>
        <v>88952.5</v>
      </c>
    </row>
    <row r="34" spans="1:16" ht="26.25" customHeight="1" x14ac:dyDescent="0.2">
      <c r="A34" s="14"/>
      <c r="B34" s="75" t="s">
        <v>356</v>
      </c>
      <c r="C34" s="73" t="s">
        <v>357</v>
      </c>
      <c r="D34" s="78" t="s">
        <v>60</v>
      </c>
      <c r="E34" s="13">
        <v>44527</v>
      </c>
      <c r="F34" s="76" t="s">
        <v>214</v>
      </c>
      <c r="G34" s="13">
        <v>44531</v>
      </c>
      <c r="H34" s="77" t="s">
        <v>215</v>
      </c>
      <c r="I34" s="16">
        <v>32</v>
      </c>
      <c r="J34" s="16">
        <v>22</v>
      </c>
      <c r="K34" s="16">
        <v>10</v>
      </c>
      <c r="L34" s="16">
        <v>1</v>
      </c>
      <c r="M34" s="81">
        <v>1.76</v>
      </c>
      <c r="N34" s="96">
        <v>1.76</v>
      </c>
      <c r="O34" s="64">
        <v>7000</v>
      </c>
      <c r="P34" s="65">
        <f>Table22457891011234567891011121314151617[[#This Row],[PEMBULATAN]]*O34</f>
        <v>12320</v>
      </c>
    </row>
    <row r="35" spans="1:16" ht="26.25" customHeight="1" x14ac:dyDescent="0.2">
      <c r="A35" s="14"/>
      <c r="B35" s="75"/>
      <c r="C35" s="73" t="s">
        <v>358</v>
      </c>
      <c r="D35" s="78" t="s">
        <v>60</v>
      </c>
      <c r="E35" s="13">
        <v>44527</v>
      </c>
      <c r="F35" s="76" t="s">
        <v>214</v>
      </c>
      <c r="G35" s="13">
        <v>44531</v>
      </c>
      <c r="H35" s="77" t="s">
        <v>215</v>
      </c>
      <c r="I35" s="16">
        <v>60</v>
      </c>
      <c r="J35" s="16">
        <v>55</v>
      </c>
      <c r="K35" s="16">
        <v>66</v>
      </c>
      <c r="L35" s="16">
        <v>36</v>
      </c>
      <c r="M35" s="81">
        <v>54.45</v>
      </c>
      <c r="N35" s="96">
        <v>55</v>
      </c>
      <c r="O35" s="64">
        <v>7000</v>
      </c>
      <c r="P35" s="65">
        <f>Table22457891011234567891011121314151617[[#This Row],[PEMBULATAN]]*O35</f>
        <v>385000</v>
      </c>
    </row>
    <row r="36" spans="1:16" ht="26.25" customHeight="1" x14ac:dyDescent="0.2">
      <c r="A36" s="14"/>
      <c r="B36" s="75"/>
      <c r="C36" s="73" t="s">
        <v>359</v>
      </c>
      <c r="D36" s="78" t="s">
        <v>60</v>
      </c>
      <c r="E36" s="13">
        <v>44527</v>
      </c>
      <c r="F36" s="76" t="s">
        <v>214</v>
      </c>
      <c r="G36" s="13">
        <v>44531</v>
      </c>
      <c r="H36" s="77" t="s">
        <v>215</v>
      </c>
      <c r="I36" s="16">
        <v>43</v>
      </c>
      <c r="J36" s="16">
        <v>38</v>
      </c>
      <c r="K36" s="16">
        <v>14</v>
      </c>
      <c r="L36" s="16">
        <v>9</v>
      </c>
      <c r="M36" s="81">
        <v>5.7190000000000003</v>
      </c>
      <c r="N36" s="96">
        <v>9</v>
      </c>
      <c r="O36" s="64">
        <v>7000</v>
      </c>
      <c r="P36" s="65">
        <f>Table22457891011234567891011121314151617[[#This Row],[PEMBULATAN]]*O36</f>
        <v>63000</v>
      </c>
    </row>
    <row r="37" spans="1:16" ht="26.25" customHeight="1" x14ac:dyDescent="0.2">
      <c r="A37" s="14"/>
      <c r="B37" s="99"/>
      <c r="C37" s="73" t="s">
        <v>360</v>
      </c>
      <c r="D37" s="78" t="s">
        <v>60</v>
      </c>
      <c r="E37" s="13">
        <v>44527</v>
      </c>
      <c r="F37" s="76" t="s">
        <v>214</v>
      </c>
      <c r="G37" s="13">
        <v>44531</v>
      </c>
      <c r="H37" s="77" t="s">
        <v>215</v>
      </c>
      <c r="I37" s="16">
        <v>56</v>
      </c>
      <c r="J37" s="16">
        <v>56</v>
      </c>
      <c r="K37" s="16">
        <v>10</v>
      </c>
      <c r="L37" s="16">
        <v>15</v>
      </c>
      <c r="M37" s="81">
        <v>7.84</v>
      </c>
      <c r="N37" s="96">
        <v>15</v>
      </c>
      <c r="O37" s="64">
        <v>7000</v>
      </c>
      <c r="P37" s="65">
        <f>Table22457891011234567891011121314151617[[#This Row],[PEMBULATAN]]*O37</f>
        <v>105000</v>
      </c>
    </row>
    <row r="38" spans="1:16" ht="26.25" customHeight="1" x14ac:dyDescent="0.2">
      <c r="A38" s="14"/>
      <c r="B38" s="75" t="s">
        <v>361</v>
      </c>
      <c r="C38" s="73" t="s">
        <v>362</v>
      </c>
      <c r="D38" s="78" t="s">
        <v>60</v>
      </c>
      <c r="E38" s="13">
        <v>44527</v>
      </c>
      <c r="F38" s="76" t="s">
        <v>214</v>
      </c>
      <c r="G38" s="13">
        <v>44531</v>
      </c>
      <c r="H38" s="77" t="s">
        <v>215</v>
      </c>
      <c r="I38" s="16">
        <v>27</v>
      </c>
      <c r="J38" s="16">
        <v>20</v>
      </c>
      <c r="K38" s="16">
        <v>16</v>
      </c>
      <c r="L38" s="16">
        <v>4</v>
      </c>
      <c r="M38" s="81">
        <v>2.16</v>
      </c>
      <c r="N38" s="96">
        <v>4</v>
      </c>
      <c r="O38" s="64">
        <v>7000</v>
      </c>
      <c r="P38" s="65">
        <f>Table22457891011234567891011121314151617[[#This Row],[PEMBULATAN]]*O38</f>
        <v>28000</v>
      </c>
    </row>
    <row r="39" spans="1:16" ht="26.25" customHeight="1" x14ac:dyDescent="0.2">
      <c r="A39" s="14"/>
      <c r="B39" s="75"/>
      <c r="C39" s="73" t="s">
        <v>363</v>
      </c>
      <c r="D39" s="78" t="s">
        <v>60</v>
      </c>
      <c r="E39" s="13">
        <v>44527</v>
      </c>
      <c r="F39" s="76" t="s">
        <v>214</v>
      </c>
      <c r="G39" s="13">
        <v>44531</v>
      </c>
      <c r="H39" s="77" t="s">
        <v>215</v>
      </c>
      <c r="I39" s="16">
        <v>38</v>
      </c>
      <c r="J39" s="16">
        <v>34</v>
      </c>
      <c r="K39" s="16">
        <v>10</v>
      </c>
      <c r="L39" s="16">
        <v>10</v>
      </c>
      <c r="M39" s="81">
        <v>3.23</v>
      </c>
      <c r="N39" s="96">
        <v>10</v>
      </c>
      <c r="O39" s="64">
        <v>7000</v>
      </c>
      <c r="P39" s="65">
        <f>Table22457891011234567891011121314151617[[#This Row],[PEMBULATAN]]*O39</f>
        <v>70000</v>
      </c>
    </row>
    <row r="40" spans="1:16" ht="26.25" customHeight="1" x14ac:dyDescent="0.2">
      <c r="A40" s="14"/>
      <c r="B40" s="75"/>
      <c r="C40" s="73" t="s">
        <v>364</v>
      </c>
      <c r="D40" s="78" t="s">
        <v>60</v>
      </c>
      <c r="E40" s="13">
        <v>44527</v>
      </c>
      <c r="F40" s="76" t="s">
        <v>214</v>
      </c>
      <c r="G40" s="13">
        <v>44531</v>
      </c>
      <c r="H40" s="77" t="s">
        <v>215</v>
      </c>
      <c r="I40" s="16">
        <v>40</v>
      </c>
      <c r="J40" s="16">
        <v>35</v>
      </c>
      <c r="K40" s="16">
        <v>27</v>
      </c>
      <c r="L40" s="16">
        <v>9</v>
      </c>
      <c r="M40" s="81">
        <v>9.4499999999999993</v>
      </c>
      <c r="N40" s="96">
        <v>10</v>
      </c>
      <c r="O40" s="64">
        <v>7000</v>
      </c>
      <c r="P40" s="65">
        <f>Table22457891011234567891011121314151617[[#This Row],[PEMBULATAN]]*O40</f>
        <v>70000</v>
      </c>
    </row>
    <row r="41" spans="1:16" ht="26.25" customHeight="1" x14ac:dyDescent="0.2">
      <c r="A41" s="14"/>
      <c r="B41" s="75"/>
      <c r="C41" s="73" t="s">
        <v>365</v>
      </c>
      <c r="D41" s="78" t="s">
        <v>60</v>
      </c>
      <c r="E41" s="13">
        <v>44527</v>
      </c>
      <c r="F41" s="76" t="s">
        <v>214</v>
      </c>
      <c r="G41" s="13">
        <v>44531</v>
      </c>
      <c r="H41" s="77" t="s">
        <v>215</v>
      </c>
      <c r="I41" s="16">
        <v>40</v>
      </c>
      <c r="J41" s="16">
        <v>35</v>
      </c>
      <c r="K41" s="16">
        <v>27</v>
      </c>
      <c r="L41" s="16">
        <v>9</v>
      </c>
      <c r="M41" s="81">
        <v>9.4499999999999993</v>
      </c>
      <c r="N41" s="96">
        <v>10</v>
      </c>
      <c r="O41" s="64">
        <v>7000</v>
      </c>
      <c r="P41" s="65">
        <f>Table22457891011234567891011121314151617[[#This Row],[PEMBULATAN]]*O41</f>
        <v>70000</v>
      </c>
    </row>
    <row r="42" spans="1:16" ht="26.25" customHeight="1" x14ac:dyDescent="0.2">
      <c r="A42" s="14"/>
      <c r="B42" s="75"/>
      <c r="C42" s="73" t="s">
        <v>366</v>
      </c>
      <c r="D42" s="78" t="s">
        <v>60</v>
      </c>
      <c r="E42" s="13">
        <v>44527</v>
      </c>
      <c r="F42" s="76" t="s">
        <v>214</v>
      </c>
      <c r="G42" s="13">
        <v>44531</v>
      </c>
      <c r="H42" s="77" t="s">
        <v>215</v>
      </c>
      <c r="I42" s="16">
        <v>40</v>
      </c>
      <c r="J42" s="16">
        <v>35</v>
      </c>
      <c r="K42" s="16">
        <v>27</v>
      </c>
      <c r="L42" s="16">
        <v>9</v>
      </c>
      <c r="M42" s="81">
        <v>9.4499999999999993</v>
      </c>
      <c r="N42" s="96">
        <v>10</v>
      </c>
      <c r="O42" s="64">
        <v>7000</v>
      </c>
      <c r="P42" s="65">
        <f>Table22457891011234567891011121314151617[[#This Row],[PEMBULATAN]]*O42</f>
        <v>70000</v>
      </c>
    </row>
    <row r="43" spans="1:16" ht="26.25" customHeight="1" x14ac:dyDescent="0.2">
      <c r="A43" s="14"/>
      <c r="B43" s="75"/>
      <c r="C43" s="73" t="s">
        <v>367</v>
      </c>
      <c r="D43" s="78" t="s">
        <v>60</v>
      </c>
      <c r="E43" s="13">
        <v>44527</v>
      </c>
      <c r="F43" s="76" t="s">
        <v>214</v>
      </c>
      <c r="G43" s="13">
        <v>44531</v>
      </c>
      <c r="H43" s="77" t="s">
        <v>215</v>
      </c>
      <c r="I43" s="16">
        <v>40</v>
      </c>
      <c r="J43" s="16">
        <v>35</v>
      </c>
      <c r="K43" s="16">
        <v>27</v>
      </c>
      <c r="L43" s="16">
        <v>9</v>
      </c>
      <c r="M43" s="81">
        <v>9.4499999999999993</v>
      </c>
      <c r="N43" s="96">
        <v>10</v>
      </c>
      <c r="O43" s="64">
        <v>7000</v>
      </c>
      <c r="P43" s="65">
        <f>Table22457891011234567891011121314151617[[#This Row],[PEMBULATAN]]*O43</f>
        <v>70000</v>
      </c>
    </row>
    <row r="44" spans="1:16" ht="26.25" customHeight="1" x14ac:dyDescent="0.2">
      <c r="A44" s="14"/>
      <c r="B44" s="75"/>
      <c r="C44" s="73" t="s">
        <v>368</v>
      </c>
      <c r="D44" s="78" t="s">
        <v>60</v>
      </c>
      <c r="E44" s="13">
        <v>44527</v>
      </c>
      <c r="F44" s="76" t="s">
        <v>214</v>
      </c>
      <c r="G44" s="13">
        <v>44531</v>
      </c>
      <c r="H44" s="77" t="s">
        <v>215</v>
      </c>
      <c r="I44" s="16">
        <v>40</v>
      </c>
      <c r="J44" s="16">
        <v>35</v>
      </c>
      <c r="K44" s="16">
        <v>27</v>
      </c>
      <c r="L44" s="16">
        <v>9</v>
      </c>
      <c r="M44" s="81">
        <v>9.4499999999999993</v>
      </c>
      <c r="N44" s="96">
        <v>10</v>
      </c>
      <c r="O44" s="64">
        <v>7000</v>
      </c>
      <c r="P44" s="65">
        <f>Table22457891011234567891011121314151617[[#This Row],[PEMBULATAN]]*O44</f>
        <v>70000</v>
      </c>
    </row>
    <row r="45" spans="1:16" ht="26.25" customHeight="1" x14ac:dyDescent="0.2">
      <c r="A45" s="14"/>
      <c r="B45" s="75"/>
      <c r="C45" s="73" t="s">
        <v>369</v>
      </c>
      <c r="D45" s="78" t="s">
        <v>60</v>
      </c>
      <c r="E45" s="13">
        <v>44527</v>
      </c>
      <c r="F45" s="76" t="s">
        <v>214</v>
      </c>
      <c r="G45" s="13">
        <v>44531</v>
      </c>
      <c r="H45" s="77" t="s">
        <v>215</v>
      </c>
      <c r="I45" s="16">
        <v>40</v>
      </c>
      <c r="J45" s="16">
        <v>35</v>
      </c>
      <c r="K45" s="16">
        <v>27</v>
      </c>
      <c r="L45" s="16">
        <v>9</v>
      </c>
      <c r="M45" s="81">
        <v>9.4499999999999993</v>
      </c>
      <c r="N45" s="96">
        <v>10</v>
      </c>
      <c r="O45" s="64">
        <v>7000</v>
      </c>
      <c r="P45" s="65">
        <f>Table22457891011234567891011121314151617[[#This Row],[PEMBULATAN]]*O45</f>
        <v>70000</v>
      </c>
    </row>
    <row r="46" spans="1:16" ht="26.25" customHeight="1" x14ac:dyDescent="0.2">
      <c r="A46" s="14"/>
      <c r="B46" s="75"/>
      <c r="C46" s="73" t="s">
        <v>370</v>
      </c>
      <c r="D46" s="78" t="s">
        <v>60</v>
      </c>
      <c r="E46" s="13">
        <v>44527</v>
      </c>
      <c r="F46" s="76" t="s">
        <v>214</v>
      </c>
      <c r="G46" s="13">
        <v>44531</v>
      </c>
      <c r="H46" s="77" t="s">
        <v>215</v>
      </c>
      <c r="I46" s="16">
        <v>40</v>
      </c>
      <c r="J46" s="16">
        <v>35</v>
      </c>
      <c r="K46" s="16">
        <v>27</v>
      </c>
      <c r="L46" s="16">
        <v>9</v>
      </c>
      <c r="M46" s="81">
        <v>9.4499999999999993</v>
      </c>
      <c r="N46" s="96">
        <v>10</v>
      </c>
      <c r="O46" s="64">
        <v>7000</v>
      </c>
      <c r="P46" s="65">
        <f>Table22457891011234567891011121314151617[[#This Row],[PEMBULATAN]]*O46</f>
        <v>70000</v>
      </c>
    </row>
    <row r="47" spans="1:16" ht="26.25" customHeight="1" x14ac:dyDescent="0.2">
      <c r="A47" s="14"/>
      <c r="B47" s="75"/>
      <c r="C47" s="73" t="s">
        <v>371</v>
      </c>
      <c r="D47" s="78" t="s">
        <v>60</v>
      </c>
      <c r="E47" s="13">
        <v>44527</v>
      </c>
      <c r="F47" s="76" t="s">
        <v>214</v>
      </c>
      <c r="G47" s="13">
        <v>44531</v>
      </c>
      <c r="H47" s="77" t="s">
        <v>215</v>
      </c>
      <c r="I47" s="16">
        <v>40</v>
      </c>
      <c r="J47" s="16">
        <v>35</v>
      </c>
      <c r="K47" s="16">
        <v>27</v>
      </c>
      <c r="L47" s="16">
        <v>9</v>
      </c>
      <c r="M47" s="81">
        <v>9.4499999999999993</v>
      </c>
      <c r="N47" s="96">
        <v>10</v>
      </c>
      <c r="O47" s="64">
        <v>7000</v>
      </c>
      <c r="P47" s="65">
        <f>Table22457891011234567891011121314151617[[#This Row],[PEMBULATAN]]*O47</f>
        <v>70000</v>
      </c>
    </row>
    <row r="48" spans="1:16" ht="26.25" customHeight="1" x14ac:dyDescent="0.2">
      <c r="A48" s="14"/>
      <c r="B48" s="75"/>
      <c r="C48" s="73" t="s">
        <v>372</v>
      </c>
      <c r="D48" s="78" t="s">
        <v>60</v>
      </c>
      <c r="E48" s="13">
        <v>44527</v>
      </c>
      <c r="F48" s="76" t="s">
        <v>214</v>
      </c>
      <c r="G48" s="13">
        <v>44531</v>
      </c>
      <c r="H48" s="77" t="s">
        <v>215</v>
      </c>
      <c r="I48" s="16">
        <v>40</v>
      </c>
      <c r="J48" s="16">
        <v>35</v>
      </c>
      <c r="K48" s="16">
        <v>27</v>
      </c>
      <c r="L48" s="16">
        <v>9</v>
      </c>
      <c r="M48" s="81">
        <v>9.4499999999999993</v>
      </c>
      <c r="N48" s="96">
        <v>10</v>
      </c>
      <c r="O48" s="64">
        <v>7000</v>
      </c>
      <c r="P48" s="65">
        <f>Table22457891011234567891011121314151617[[#This Row],[PEMBULATAN]]*O48</f>
        <v>70000</v>
      </c>
    </row>
    <row r="49" spans="1:16" ht="26.25" customHeight="1" x14ac:dyDescent="0.2">
      <c r="A49" s="14"/>
      <c r="B49" s="75"/>
      <c r="C49" s="73" t="s">
        <v>373</v>
      </c>
      <c r="D49" s="78" t="s">
        <v>60</v>
      </c>
      <c r="E49" s="13">
        <v>44527</v>
      </c>
      <c r="F49" s="76" t="s">
        <v>214</v>
      </c>
      <c r="G49" s="13">
        <v>44531</v>
      </c>
      <c r="H49" s="77" t="s">
        <v>215</v>
      </c>
      <c r="I49" s="16">
        <v>40</v>
      </c>
      <c r="J49" s="16">
        <v>35</v>
      </c>
      <c r="K49" s="16">
        <v>27</v>
      </c>
      <c r="L49" s="16">
        <v>9</v>
      </c>
      <c r="M49" s="81">
        <v>9.4499999999999993</v>
      </c>
      <c r="N49" s="96">
        <v>10</v>
      </c>
      <c r="O49" s="64">
        <v>7000</v>
      </c>
      <c r="P49" s="65">
        <f>Table22457891011234567891011121314151617[[#This Row],[PEMBULATAN]]*O49</f>
        <v>70000</v>
      </c>
    </row>
    <row r="50" spans="1:16" ht="26.25" customHeight="1" x14ac:dyDescent="0.2">
      <c r="A50" s="14"/>
      <c r="B50" s="75"/>
      <c r="C50" s="73" t="s">
        <v>374</v>
      </c>
      <c r="D50" s="78" t="s">
        <v>60</v>
      </c>
      <c r="E50" s="13">
        <v>44527</v>
      </c>
      <c r="F50" s="76" t="s">
        <v>214</v>
      </c>
      <c r="G50" s="13">
        <v>44531</v>
      </c>
      <c r="H50" s="77" t="s">
        <v>215</v>
      </c>
      <c r="I50" s="16">
        <v>31</v>
      </c>
      <c r="J50" s="16">
        <v>23</v>
      </c>
      <c r="K50" s="16">
        <v>19</v>
      </c>
      <c r="L50" s="16">
        <v>7</v>
      </c>
      <c r="M50" s="81">
        <v>3.3867500000000001</v>
      </c>
      <c r="N50" s="96">
        <v>8</v>
      </c>
      <c r="O50" s="64">
        <v>7000</v>
      </c>
      <c r="P50" s="65">
        <f>Table22457891011234567891011121314151617[[#This Row],[PEMBULATAN]]*O50</f>
        <v>56000</v>
      </c>
    </row>
    <row r="51" spans="1:16" ht="26.25" customHeight="1" x14ac:dyDescent="0.2">
      <c r="A51" s="14"/>
      <c r="B51" s="75"/>
      <c r="C51" s="73" t="s">
        <v>375</v>
      </c>
      <c r="D51" s="78" t="s">
        <v>60</v>
      </c>
      <c r="E51" s="13">
        <v>44527</v>
      </c>
      <c r="F51" s="76" t="s">
        <v>214</v>
      </c>
      <c r="G51" s="13">
        <v>44531</v>
      </c>
      <c r="H51" s="77" t="s">
        <v>215</v>
      </c>
      <c r="I51" s="16">
        <v>31</v>
      </c>
      <c r="J51" s="16">
        <v>23</v>
      </c>
      <c r="K51" s="16">
        <v>19</v>
      </c>
      <c r="L51" s="16">
        <v>7</v>
      </c>
      <c r="M51" s="81">
        <v>3.3867500000000001</v>
      </c>
      <c r="N51" s="96">
        <v>8</v>
      </c>
      <c r="O51" s="64">
        <v>7000</v>
      </c>
      <c r="P51" s="65">
        <f>Table22457891011234567891011121314151617[[#This Row],[PEMBULATAN]]*O51</f>
        <v>56000</v>
      </c>
    </row>
    <row r="52" spans="1:16" ht="26.25" customHeight="1" x14ac:dyDescent="0.2">
      <c r="A52" s="14"/>
      <c r="B52" s="75"/>
      <c r="C52" s="73" t="s">
        <v>376</v>
      </c>
      <c r="D52" s="78" t="s">
        <v>60</v>
      </c>
      <c r="E52" s="13">
        <v>44527</v>
      </c>
      <c r="F52" s="76" t="s">
        <v>214</v>
      </c>
      <c r="G52" s="13">
        <v>44531</v>
      </c>
      <c r="H52" s="77" t="s">
        <v>215</v>
      </c>
      <c r="I52" s="16">
        <v>31</v>
      </c>
      <c r="J52" s="16">
        <v>23</v>
      </c>
      <c r="K52" s="16">
        <v>19</v>
      </c>
      <c r="L52" s="16">
        <v>7</v>
      </c>
      <c r="M52" s="81">
        <v>3.3867500000000001</v>
      </c>
      <c r="N52" s="96">
        <v>8</v>
      </c>
      <c r="O52" s="64">
        <v>7000</v>
      </c>
      <c r="P52" s="65">
        <f>Table22457891011234567891011121314151617[[#This Row],[PEMBULATAN]]*O52</f>
        <v>56000</v>
      </c>
    </row>
    <row r="53" spans="1:16" ht="26.25" customHeight="1" x14ac:dyDescent="0.2">
      <c r="A53" s="14"/>
      <c r="B53" s="75"/>
      <c r="C53" s="73" t="s">
        <v>377</v>
      </c>
      <c r="D53" s="78" t="s">
        <v>60</v>
      </c>
      <c r="E53" s="13">
        <v>44527</v>
      </c>
      <c r="F53" s="76" t="s">
        <v>214</v>
      </c>
      <c r="G53" s="13">
        <v>44531</v>
      </c>
      <c r="H53" s="77" t="s">
        <v>215</v>
      </c>
      <c r="I53" s="16">
        <v>31</v>
      </c>
      <c r="J53" s="16">
        <v>23</v>
      </c>
      <c r="K53" s="16">
        <v>19</v>
      </c>
      <c r="L53" s="16">
        <v>7</v>
      </c>
      <c r="M53" s="81">
        <v>3.3867500000000001</v>
      </c>
      <c r="N53" s="96">
        <v>8</v>
      </c>
      <c r="O53" s="64">
        <v>7000</v>
      </c>
      <c r="P53" s="65">
        <f>Table22457891011234567891011121314151617[[#This Row],[PEMBULATAN]]*O53</f>
        <v>56000</v>
      </c>
    </row>
    <row r="54" spans="1:16" ht="26.25" customHeight="1" x14ac:dyDescent="0.2">
      <c r="A54" s="14"/>
      <c r="B54" s="75"/>
      <c r="C54" s="73" t="s">
        <v>378</v>
      </c>
      <c r="D54" s="78" t="s">
        <v>60</v>
      </c>
      <c r="E54" s="13">
        <v>44527</v>
      </c>
      <c r="F54" s="76" t="s">
        <v>214</v>
      </c>
      <c r="G54" s="13">
        <v>44531</v>
      </c>
      <c r="H54" s="77" t="s">
        <v>215</v>
      </c>
      <c r="I54" s="16">
        <v>31</v>
      </c>
      <c r="J54" s="16">
        <v>23</v>
      </c>
      <c r="K54" s="16">
        <v>19</v>
      </c>
      <c r="L54" s="16">
        <v>7</v>
      </c>
      <c r="M54" s="81">
        <v>3.3867500000000001</v>
      </c>
      <c r="N54" s="96">
        <v>8</v>
      </c>
      <c r="O54" s="64">
        <v>7000</v>
      </c>
      <c r="P54" s="65">
        <f>Table22457891011234567891011121314151617[[#This Row],[PEMBULATAN]]*O54</f>
        <v>56000</v>
      </c>
    </row>
    <row r="55" spans="1:16" ht="26.25" customHeight="1" x14ac:dyDescent="0.2">
      <c r="A55" s="14"/>
      <c r="B55" s="75"/>
      <c r="C55" s="73" t="s">
        <v>379</v>
      </c>
      <c r="D55" s="78" t="s">
        <v>60</v>
      </c>
      <c r="E55" s="13">
        <v>44527</v>
      </c>
      <c r="F55" s="76" t="s">
        <v>214</v>
      </c>
      <c r="G55" s="13">
        <v>44531</v>
      </c>
      <c r="H55" s="77" t="s">
        <v>215</v>
      </c>
      <c r="I55" s="16">
        <v>31</v>
      </c>
      <c r="J55" s="16">
        <v>23</v>
      </c>
      <c r="K55" s="16">
        <v>19</v>
      </c>
      <c r="L55" s="16">
        <v>7</v>
      </c>
      <c r="M55" s="81">
        <v>3.3867500000000001</v>
      </c>
      <c r="N55" s="96">
        <v>8</v>
      </c>
      <c r="O55" s="64">
        <v>7000</v>
      </c>
      <c r="P55" s="65">
        <f>Table22457891011234567891011121314151617[[#This Row],[PEMBULATAN]]*O55</f>
        <v>56000</v>
      </c>
    </row>
    <row r="56" spans="1:16" ht="26.25" customHeight="1" x14ac:dyDescent="0.2">
      <c r="A56" s="14"/>
      <c r="B56" s="75"/>
      <c r="C56" s="73" t="s">
        <v>380</v>
      </c>
      <c r="D56" s="78" t="s">
        <v>60</v>
      </c>
      <c r="E56" s="13">
        <v>44527</v>
      </c>
      <c r="F56" s="76" t="s">
        <v>214</v>
      </c>
      <c r="G56" s="13">
        <v>44531</v>
      </c>
      <c r="H56" s="77" t="s">
        <v>215</v>
      </c>
      <c r="I56" s="16">
        <v>31</v>
      </c>
      <c r="J56" s="16">
        <v>23</v>
      </c>
      <c r="K56" s="16">
        <v>19</v>
      </c>
      <c r="L56" s="16">
        <v>7</v>
      </c>
      <c r="M56" s="81">
        <v>3.3867500000000001</v>
      </c>
      <c r="N56" s="96">
        <v>8</v>
      </c>
      <c r="O56" s="64">
        <v>7000</v>
      </c>
      <c r="P56" s="65">
        <f>Table22457891011234567891011121314151617[[#This Row],[PEMBULATAN]]*O56</f>
        <v>56000</v>
      </c>
    </row>
    <row r="57" spans="1:16" ht="26.25" customHeight="1" x14ac:dyDescent="0.2">
      <c r="A57" s="14"/>
      <c r="B57" s="75"/>
      <c r="C57" s="73" t="s">
        <v>381</v>
      </c>
      <c r="D57" s="78" t="s">
        <v>60</v>
      </c>
      <c r="E57" s="13">
        <v>44527</v>
      </c>
      <c r="F57" s="76" t="s">
        <v>214</v>
      </c>
      <c r="G57" s="13">
        <v>44531</v>
      </c>
      <c r="H57" s="77" t="s">
        <v>215</v>
      </c>
      <c r="I57" s="16">
        <v>31</v>
      </c>
      <c r="J57" s="16">
        <v>23</v>
      </c>
      <c r="K57" s="16">
        <v>19</v>
      </c>
      <c r="L57" s="16">
        <v>7</v>
      </c>
      <c r="M57" s="81">
        <v>3.3867500000000001</v>
      </c>
      <c r="N57" s="96">
        <v>8</v>
      </c>
      <c r="O57" s="64">
        <v>7000</v>
      </c>
      <c r="P57" s="65">
        <f>Table22457891011234567891011121314151617[[#This Row],[PEMBULATAN]]*O57</f>
        <v>56000</v>
      </c>
    </row>
    <row r="58" spans="1:16" ht="26.25" customHeight="1" x14ac:dyDescent="0.2">
      <c r="A58" s="14"/>
      <c r="B58" s="75"/>
      <c r="C58" s="73" t="s">
        <v>382</v>
      </c>
      <c r="D58" s="78" t="s">
        <v>60</v>
      </c>
      <c r="E58" s="13">
        <v>44527</v>
      </c>
      <c r="F58" s="76" t="s">
        <v>214</v>
      </c>
      <c r="G58" s="13">
        <v>44531</v>
      </c>
      <c r="H58" s="77" t="s">
        <v>215</v>
      </c>
      <c r="I58" s="16">
        <v>31</v>
      </c>
      <c r="J58" s="16">
        <v>23</v>
      </c>
      <c r="K58" s="16">
        <v>19</v>
      </c>
      <c r="L58" s="16">
        <v>7</v>
      </c>
      <c r="M58" s="81">
        <v>3.3867500000000001</v>
      </c>
      <c r="N58" s="96">
        <v>8</v>
      </c>
      <c r="O58" s="64">
        <v>7000</v>
      </c>
      <c r="P58" s="65">
        <f>Table22457891011234567891011121314151617[[#This Row],[PEMBULATAN]]*O58</f>
        <v>56000</v>
      </c>
    </row>
    <row r="59" spans="1:16" ht="26.25" customHeight="1" x14ac:dyDescent="0.2">
      <c r="A59" s="14"/>
      <c r="B59" s="75"/>
      <c r="C59" s="73" t="s">
        <v>383</v>
      </c>
      <c r="D59" s="78" t="s">
        <v>60</v>
      </c>
      <c r="E59" s="13">
        <v>44527</v>
      </c>
      <c r="F59" s="76" t="s">
        <v>214</v>
      </c>
      <c r="G59" s="13">
        <v>44531</v>
      </c>
      <c r="H59" s="77" t="s">
        <v>215</v>
      </c>
      <c r="I59" s="16">
        <v>31</v>
      </c>
      <c r="J59" s="16">
        <v>23</v>
      </c>
      <c r="K59" s="16">
        <v>19</v>
      </c>
      <c r="L59" s="16">
        <v>7</v>
      </c>
      <c r="M59" s="81">
        <v>3.3867500000000001</v>
      </c>
      <c r="N59" s="96">
        <v>8</v>
      </c>
      <c r="O59" s="64">
        <v>7000</v>
      </c>
      <c r="P59" s="65">
        <f>Table22457891011234567891011121314151617[[#This Row],[PEMBULATAN]]*O59</f>
        <v>56000</v>
      </c>
    </row>
    <row r="60" spans="1:16" ht="26.25" customHeight="1" x14ac:dyDescent="0.2">
      <c r="A60" s="14"/>
      <c r="B60" s="75"/>
      <c r="C60" s="73" t="s">
        <v>384</v>
      </c>
      <c r="D60" s="78" t="s">
        <v>60</v>
      </c>
      <c r="E60" s="13">
        <v>44527</v>
      </c>
      <c r="F60" s="76" t="s">
        <v>214</v>
      </c>
      <c r="G60" s="13">
        <v>44531</v>
      </c>
      <c r="H60" s="77" t="s">
        <v>215</v>
      </c>
      <c r="I60" s="16">
        <v>40</v>
      </c>
      <c r="J60" s="16">
        <v>32</v>
      </c>
      <c r="K60" s="16">
        <v>18</v>
      </c>
      <c r="L60" s="16">
        <v>10</v>
      </c>
      <c r="M60" s="81">
        <v>5.76</v>
      </c>
      <c r="N60" s="96">
        <v>10</v>
      </c>
      <c r="O60" s="64">
        <v>7000</v>
      </c>
      <c r="P60" s="65">
        <f>Table22457891011234567891011121314151617[[#This Row],[PEMBULATAN]]*O60</f>
        <v>70000</v>
      </c>
    </row>
    <row r="61" spans="1:16" ht="26.25" customHeight="1" x14ac:dyDescent="0.2">
      <c r="A61" s="14"/>
      <c r="B61" s="75"/>
      <c r="C61" s="73" t="s">
        <v>385</v>
      </c>
      <c r="D61" s="78" t="s">
        <v>60</v>
      </c>
      <c r="E61" s="13">
        <v>44527</v>
      </c>
      <c r="F61" s="76" t="s">
        <v>214</v>
      </c>
      <c r="G61" s="13">
        <v>44531</v>
      </c>
      <c r="H61" s="77" t="s">
        <v>215</v>
      </c>
      <c r="I61" s="16">
        <v>40</v>
      </c>
      <c r="J61" s="16">
        <v>32</v>
      </c>
      <c r="K61" s="16">
        <v>18</v>
      </c>
      <c r="L61" s="16">
        <v>10</v>
      </c>
      <c r="M61" s="81">
        <v>5.76</v>
      </c>
      <c r="N61" s="96">
        <v>10</v>
      </c>
      <c r="O61" s="64">
        <v>7000</v>
      </c>
      <c r="P61" s="65">
        <f>Table22457891011234567891011121314151617[[#This Row],[PEMBULATAN]]*O61</f>
        <v>70000</v>
      </c>
    </row>
    <row r="62" spans="1:16" ht="26.25" customHeight="1" x14ac:dyDescent="0.2">
      <c r="A62" s="14"/>
      <c r="B62" s="75"/>
      <c r="C62" s="73" t="s">
        <v>386</v>
      </c>
      <c r="D62" s="78" t="s">
        <v>60</v>
      </c>
      <c r="E62" s="13">
        <v>44527</v>
      </c>
      <c r="F62" s="76" t="s">
        <v>214</v>
      </c>
      <c r="G62" s="13">
        <v>44531</v>
      </c>
      <c r="H62" s="77" t="s">
        <v>215</v>
      </c>
      <c r="I62" s="16">
        <v>37</v>
      </c>
      <c r="J62" s="16">
        <v>37</v>
      </c>
      <c r="K62" s="16">
        <v>17</v>
      </c>
      <c r="L62" s="16">
        <v>12</v>
      </c>
      <c r="M62" s="81">
        <v>5.8182499999999999</v>
      </c>
      <c r="N62" s="96">
        <v>12</v>
      </c>
      <c r="O62" s="64">
        <v>7000</v>
      </c>
      <c r="P62" s="65">
        <f>Table22457891011234567891011121314151617[[#This Row],[PEMBULATAN]]*O62</f>
        <v>84000</v>
      </c>
    </row>
    <row r="63" spans="1:16" ht="26.25" customHeight="1" x14ac:dyDescent="0.2">
      <c r="A63" s="14"/>
      <c r="B63" s="75"/>
      <c r="C63" s="73" t="s">
        <v>387</v>
      </c>
      <c r="D63" s="78" t="s">
        <v>60</v>
      </c>
      <c r="E63" s="13">
        <v>44527</v>
      </c>
      <c r="F63" s="76" t="s">
        <v>214</v>
      </c>
      <c r="G63" s="13">
        <v>44531</v>
      </c>
      <c r="H63" s="77" t="s">
        <v>215</v>
      </c>
      <c r="I63" s="16">
        <v>37</v>
      </c>
      <c r="J63" s="16">
        <v>37</v>
      </c>
      <c r="K63" s="16">
        <v>17</v>
      </c>
      <c r="L63" s="16">
        <v>12</v>
      </c>
      <c r="M63" s="81">
        <v>5.8182499999999999</v>
      </c>
      <c r="N63" s="96">
        <v>12</v>
      </c>
      <c r="O63" s="64">
        <v>7000</v>
      </c>
      <c r="P63" s="65">
        <f>Table22457891011234567891011121314151617[[#This Row],[PEMBULATAN]]*O63</f>
        <v>84000</v>
      </c>
    </row>
    <row r="64" spans="1:16" ht="26.25" customHeight="1" x14ac:dyDescent="0.2">
      <c r="A64" s="14"/>
      <c r="B64" s="75"/>
      <c r="C64" s="73" t="s">
        <v>388</v>
      </c>
      <c r="D64" s="78" t="s">
        <v>60</v>
      </c>
      <c r="E64" s="13">
        <v>44527</v>
      </c>
      <c r="F64" s="76" t="s">
        <v>214</v>
      </c>
      <c r="G64" s="13">
        <v>44531</v>
      </c>
      <c r="H64" s="77" t="s">
        <v>215</v>
      </c>
      <c r="I64" s="16">
        <v>37</v>
      </c>
      <c r="J64" s="16">
        <v>37</v>
      </c>
      <c r="K64" s="16">
        <v>17</v>
      </c>
      <c r="L64" s="16">
        <v>12</v>
      </c>
      <c r="M64" s="81">
        <v>5.8182499999999999</v>
      </c>
      <c r="N64" s="96">
        <v>12</v>
      </c>
      <c r="O64" s="64">
        <v>7000</v>
      </c>
      <c r="P64" s="65">
        <f>Table22457891011234567891011121314151617[[#This Row],[PEMBULATAN]]*O64</f>
        <v>84000</v>
      </c>
    </row>
    <row r="65" spans="1:16" ht="26.25" customHeight="1" x14ac:dyDescent="0.2">
      <c r="A65" s="14"/>
      <c r="B65" s="75"/>
      <c r="C65" s="73" t="s">
        <v>389</v>
      </c>
      <c r="D65" s="78" t="s">
        <v>60</v>
      </c>
      <c r="E65" s="13">
        <v>44527</v>
      </c>
      <c r="F65" s="76" t="s">
        <v>214</v>
      </c>
      <c r="G65" s="13">
        <v>44531</v>
      </c>
      <c r="H65" s="77" t="s">
        <v>215</v>
      </c>
      <c r="I65" s="16">
        <v>37</v>
      </c>
      <c r="J65" s="16">
        <v>37</v>
      </c>
      <c r="K65" s="16">
        <v>17</v>
      </c>
      <c r="L65" s="16">
        <v>12</v>
      </c>
      <c r="M65" s="81">
        <v>5.8182499999999999</v>
      </c>
      <c r="N65" s="96">
        <v>12</v>
      </c>
      <c r="O65" s="64">
        <v>7000</v>
      </c>
      <c r="P65" s="65">
        <f>Table22457891011234567891011121314151617[[#This Row],[PEMBULATAN]]*O65</f>
        <v>84000</v>
      </c>
    </row>
    <row r="66" spans="1:16" ht="26.25" customHeight="1" x14ac:dyDescent="0.2">
      <c r="A66" s="14"/>
      <c r="B66" s="75"/>
      <c r="C66" s="73" t="s">
        <v>390</v>
      </c>
      <c r="D66" s="78" t="s">
        <v>60</v>
      </c>
      <c r="E66" s="13">
        <v>44527</v>
      </c>
      <c r="F66" s="76" t="s">
        <v>214</v>
      </c>
      <c r="G66" s="13">
        <v>44531</v>
      </c>
      <c r="H66" s="77" t="s">
        <v>215</v>
      </c>
      <c r="I66" s="16">
        <v>37</v>
      </c>
      <c r="J66" s="16">
        <v>37</v>
      </c>
      <c r="K66" s="16">
        <v>17</v>
      </c>
      <c r="L66" s="16">
        <v>12</v>
      </c>
      <c r="M66" s="81">
        <v>5.8182499999999999</v>
      </c>
      <c r="N66" s="96">
        <v>12</v>
      </c>
      <c r="O66" s="64">
        <v>7000</v>
      </c>
      <c r="P66" s="65">
        <f>Table22457891011234567891011121314151617[[#This Row],[PEMBULATAN]]*O66</f>
        <v>84000</v>
      </c>
    </row>
    <row r="67" spans="1:16" ht="26.25" customHeight="1" x14ac:dyDescent="0.2">
      <c r="A67" s="14"/>
      <c r="B67" s="75"/>
      <c r="C67" s="73" t="s">
        <v>391</v>
      </c>
      <c r="D67" s="78" t="s">
        <v>60</v>
      </c>
      <c r="E67" s="13">
        <v>44527</v>
      </c>
      <c r="F67" s="76" t="s">
        <v>214</v>
      </c>
      <c r="G67" s="13">
        <v>44531</v>
      </c>
      <c r="H67" s="77" t="s">
        <v>215</v>
      </c>
      <c r="I67" s="16">
        <v>27</v>
      </c>
      <c r="J67" s="16">
        <v>20</v>
      </c>
      <c r="K67" s="16">
        <v>24</v>
      </c>
      <c r="L67" s="16">
        <v>4</v>
      </c>
      <c r="M67" s="81">
        <v>3.24</v>
      </c>
      <c r="N67" s="96">
        <v>4</v>
      </c>
      <c r="O67" s="64">
        <v>7000</v>
      </c>
      <c r="P67" s="65">
        <f>Table22457891011234567891011121314151617[[#This Row],[PEMBULATAN]]*O67</f>
        <v>28000</v>
      </c>
    </row>
    <row r="68" spans="1:16" ht="26.25" customHeight="1" x14ac:dyDescent="0.2">
      <c r="A68" s="14"/>
      <c r="B68" s="75"/>
      <c r="C68" s="73" t="s">
        <v>392</v>
      </c>
      <c r="D68" s="78" t="s">
        <v>60</v>
      </c>
      <c r="E68" s="13">
        <v>44527</v>
      </c>
      <c r="F68" s="76" t="s">
        <v>214</v>
      </c>
      <c r="G68" s="13">
        <v>44531</v>
      </c>
      <c r="H68" s="77" t="s">
        <v>215</v>
      </c>
      <c r="I68" s="16">
        <v>54</v>
      </c>
      <c r="J68" s="16">
        <v>26</v>
      </c>
      <c r="K68" s="16">
        <v>26</v>
      </c>
      <c r="L68" s="16">
        <v>12</v>
      </c>
      <c r="M68" s="81">
        <v>9.1259999999999994</v>
      </c>
      <c r="N68" s="96">
        <v>12</v>
      </c>
      <c r="O68" s="64">
        <v>7000</v>
      </c>
      <c r="P68" s="65">
        <f>Table22457891011234567891011121314151617[[#This Row],[PEMBULATAN]]*O68</f>
        <v>84000</v>
      </c>
    </row>
    <row r="69" spans="1:16" ht="26.25" customHeight="1" x14ac:dyDescent="0.2">
      <c r="A69" s="14"/>
      <c r="B69" s="75"/>
      <c r="C69" s="73" t="s">
        <v>393</v>
      </c>
      <c r="D69" s="78" t="s">
        <v>60</v>
      </c>
      <c r="E69" s="13">
        <v>44527</v>
      </c>
      <c r="F69" s="76" t="s">
        <v>214</v>
      </c>
      <c r="G69" s="13">
        <v>44531</v>
      </c>
      <c r="H69" s="77" t="s">
        <v>215</v>
      </c>
      <c r="I69" s="16">
        <v>62</v>
      </c>
      <c r="J69" s="16">
        <v>42</v>
      </c>
      <c r="K69" s="16">
        <v>75</v>
      </c>
      <c r="L69" s="16">
        <v>31</v>
      </c>
      <c r="M69" s="81">
        <v>48.825000000000003</v>
      </c>
      <c r="N69" s="96">
        <v>48.825000000000003</v>
      </c>
      <c r="O69" s="64">
        <v>7000</v>
      </c>
      <c r="P69" s="65">
        <f>Table22457891011234567891011121314151617[[#This Row],[PEMBULATAN]]*O69</f>
        <v>341775</v>
      </c>
    </row>
    <row r="70" spans="1:16" ht="26.25" customHeight="1" x14ac:dyDescent="0.2">
      <c r="A70" s="14"/>
      <c r="B70" s="75"/>
      <c r="C70" s="73" t="s">
        <v>394</v>
      </c>
      <c r="D70" s="78" t="s">
        <v>60</v>
      </c>
      <c r="E70" s="13">
        <v>44527</v>
      </c>
      <c r="F70" s="76" t="s">
        <v>214</v>
      </c>
      <c r="G70" s="13">
        <v>44531</v>
      </c>
      <c r="H70" s="77" t="s">
        <v>215</v>
      </c>
      <c r="I70" s="16">
        <v>52</v>
      </c>
      <c r="J70" s="16">
        <v>40</v>
      </c>
      <c r="K70" s="16">
        <v>35</v>
      </c>
      <c r="L70" s="16">
        <v>4</v>
      </c>
      <c r="M70" s="81">
        <v>18.2</v>
      </c>
      <c r="N70" s="96">
        <v>18.2</v>
      </c>
      <c r="O70" s="64">
        <v>7000</v>
      </c>
      <c r="P70" s="65">
        <f>Table22457891011234567891011121314151617[[#This Row],[PEMBULATAN]]*O70</f>
        <v>127400</v>
      </c>
    </row>
    <row r="71" spans="1:16" ht="22.5" customHeight="1" x14ac:dyDescent="0.2">
      <c r="A71" s="117" t="s">
        <v>30</v>
      </c>
      <c r="B71" s="118"/>
      <c r="C71" s="118"/>
      <c r="D71" s="118"/>
      <c r="E71" s="118"/>
      <c r="F71" s="118"/>
      <c r="G71" s="118"/>
      <c r="H71" s="118"/>
      <c r="I71" s="118"/>
      <c r="J71" s="118"/>
      <c r="K71" s="118"/>
      <c r="L71" s="119"/>
      <c r="M71" s="79">
        <f>SUBTOTAL(109,Table22457891011234567891011121314151617[KG VOLUME])</f>
        <v>714.28350000000046</v>
      </c>
      <c r="N71" s="68">
        <f>SUM(N3:N70)</f>
        <v>872.15275000000008</v>
      </c>
      <c r="O71" s="120">
        <f>SUM(P3:P70)</f>
        <v>6105069.25</v>
      </c>
      <c r="P71" s="121"/>
    </row>
    <row r="72" spans="1:16" ht="18" customHeight="1" x14ac:dyDescent="0.2">
      <c r="A72" s="86"/>
      <c r="B72" s="56" t="s">
        <v>42</v>
      </c>
      <c r="C72" s="55"/>
      <c r="D72" s="57" t="s">
        <v>43</v>
      </c>
      <c r="E72" s="86"/>
      <c r="F72" s="86"/>
      <c r="G72" s="86"/>
      <c r="H72" s="86"/>
      <c r="I72" s="86"/>
      <c r="J72" s="86"/>
      <c r="K72" s="86"/>
      <c r="L72" s="86"/>
      <c r="M72" s="87"/>
      <c r="N72" s="88" t="s">
        <v>52</v>
      </c>
      <c r="O72" s="89"/>
      <c r="P72" s="89">
        <v>0</v>
      </c>
    </row>
    <row r="73" spans="1:16" ht="18" customHeight="1" thickBot="1" x14ac:dyDescent="0.25">
      <c r="A73" s="86"/>
      <c r="B73" s="56"/>
      <c r="C73" s="55"/>
      <c r="D73" s="57"/>
      <c r="E73" s="86"/>
      <c r="F73" s="86"/>
      <c r="G73" s="86"/>
      <c r="H73" s="86"/>
      <c r="I73" s="86"/>
      <c r="J73" s="86"/>
      <c r="K73" s="86"/>
      <c r="L73" s="86"/>
      <c r="M73" s="87"/>
      <c r="N73" s="90" t="s">
        <v>53</v>
      </c>
      <c r="O73" s="91"/>
      <c r="P73" s="91">
        <f>O71-P72</f>
        <v>6105069.25</v>
      </c>
    </row>
    <row r="74" spans="1:16" ht="18" customHeight="1" x14ac:dyDescent="0.2">
      <c r="A74" s="11"/>
      <c r="H74" s="63"/>
      <c r="N74" s="62" t="s">
        <v>31</v>
      </c>
      <c r="P74" s="69">
        <f>P73*1%</f>
        <v>61050.692500000005</v>
      </c>
    </row>
    <row r="75" spans="1:16" ht="18" customHeight="1" thickBot="1" x14ac:dyDescent="0.25">
      <c r="A75" s="11"/>
      <c r="H75" s="63"/>
      <c r="N75" s="62" t="s">
        <v>54</v>
      </c>
      <c r="P75" s="71">
        <f>P73*2%</f>
        <v>122101.38500000001</v>
      </c>
    </row>
    <row r="76" spans="1:16" ht="18" customHeight="1" x14ac:dyDescent="0.2">
      <c r="A76" s="11"/>
      <c r="H76" s="63"/>
      <c r="N76" s="66" t="s">
        <v>32</v>
      </c>
      <c r="O76" s="67"/>
      <c r="P76" s="70">
        <f>P73+P74-P75</f>
        <v>6044018.5575000001</v>
      </c>
    </row>
    <row r="78" spans="1:16" x14ac:dyDescent="0.2">
      <c r="A78" s="11"/>
      <c r="H78" s="63"/>
      <c r="P78" s="71"/>
    </row>
    <row r="79" spans="1:16" x14ac:dyDescent="0.2">
      <c r="A79" s="11"/>
      <c r="H79" s="63"/>
      <c r="O79" s="58"/>
      <c r="P79" s="71"/>
    </row>
    <row r="80" spans="1:16" s="3" customFormat="1" x14ac:dyDescent="0.25">
      <c r="A80" s="11"/>
      <c r="B80" s="2"/>
      <c r="C80" s="2"/>
      <c r="E80" s="12"/>
      <c r="H80" s="63"/>
      <c r="N80" s="15"/>
      <c r="O80" s="15"/>
      <c r="P80" s="15"/>
    </row>
    <row r="81" spans="1:16" s="3" customFormat="1" x14ac:dyDescent="0.25">
      <c r="A81" s="11"/>
      <c r="B81" s="2"/>
      <c r="C81" s="2"/>
      <c r="E81" s="12"/>
      <c r="H81" s="63"/>
      <c r="N81" s="15"/>
      <c r="O81" s="15"/>
      <c r="P81" s="15"/>
    </row>
    <row r="82" spans="1:16" s="3" customFormat="1" x14ac:dyDescent="0.25">
      <c r="A82" s="11"/>
      <c r="B82" s="2"/>
      <c r="C82" s="2"/>
      <c r="E82" s="12"/>
      <c r="H82" s="63"/>
      <c r="N82" s="15"/>
      <c r="O82" s="15"/>
      <c r="P82" s="15"/>
    </row>
    <row r="83" spans="1:16" s="3" customFormat="1" x14ac:dyDescent="0.25">
      <c r="A83" s="11"/>
      <c r="B83" s="2"/>
      <c r="C83" s="2"/>
      <c r="E83" s="12"/>
      <c r="H83" s="63"/>
      <c r="N83" s="15"/>
      <c r="O83" s="15"/>
      <c r="P83" s="15"/>
    </row>
    <row r="84" spans="1:16" s="3" customFormat="1" x14ac:dyDescent="0.25">
      <c r="A84" s="11"/>
      <c r="B84" s="2"/>
      <c r="C84" s="2"/>
      <c r="E84" s="12"/>
      <c r="H84" s="63"/>
      <c r="N84" s="15"/>
      <c r="O84" s="15"/>
      <c r="P84" s="15"/>
    </row>
    <row r="85" spans="1:16" s="3" customFormat="1" x14ac:dyDescent="0.25">
      <c r="A85" s="11"/>
      <c r="B85" s="2"/>
      <c r="C85" s="2"/>
      <c r="E85" s="12"/>
      <c r="H85" s="63"/>
      <c r="N85" s="15"/>
      <c r="O85" s="15"/>
      <c r="P85" s="15"/>
    </row>
    <row r="86" spans="1:16" s="3" customFormat="1" x14ac:dyDescent="0.25">
      <c r="A86" s="11"/>
      <c r="B86" s="2"/>
      <c r="C86" s="2"/>
      <c r="E86" s="12"/>
      <c r="H86" s="63"/>
      <c r="N86" s="15"/>
      <c r="O86" s="15"/>
      <c r="P86" s="15"/>
    </row>
    <row r="87" spans="1:16" s="3" customFormat="1" x14ac:dyDescent="0.25">
      <c r="A87" s="11"/>
      <c r="B87" s="2"/>
      <c r="C87" s="2"/>
      <c r="E87" s="12"/>
      <c r="H87" s="63"/>
      <c r="N87" s="15"/>
      <c r="O87" s="15"/>
      <c r="P87" s="15"/>
    </row>
    <row r="88" spans="1:16" s="3" customFormat="1" x14ac:dyDescent="0.25">
      <c r="A88" s="11"/>
      <c r="B88" s="2"/>
      <c r="C88" s="2"/>
      <c r="E88" s="12"/>
      <c r="H88" s="63"/>
      <c r="N88" s="15"/>
      <c r="O88" s="15"/>
      <c r="P88" s="15"/>
    </row>
    <row r="89" spans="1:16" s="3" customFormat="1" x14ac:dyDescent="0.25">
      <c r="A89" s="11"/>
      <c r="B89" s="2"/>
      <c r="C89" s="2"/>
      <c r="E89" s="12"/>
      <c r="H89" s="63"/>
      <c r="N89" s="15"/>
      <c r="O89" s="15"/>
      <c r="P89" s="15"/>
    </row>
    <row r="90" spans="1:16" s="3" customFormat="1" x14ac:dyDescent="0.25">
      <c r="A90" s="11"/>
      <c r="B90" s="2"/>
      <c r="C90" s="2"/>
      <c r="E90" s="12"/>
      <c r="H90" s="63"/>
      <c r="N90" s="15"/>
      <c r="O90" s="15"/>
      <c r="P90" s="15"/>
    </row>
    <row r="91" spans="1:16" s="3" customFormat="1" x14ac:dyDescent="0.25">
      <c r="A91" s="11"/>
      <c r="B91" s="2"/>
      <c r="C91" s="2"/>
      <c r="E91" s="12"/>
      <c r="H91" s="63"/>
      <c r="N91" s="15"/>
      <c r="O91" s="15"/>
      <c r="P91" s="15"/>
    </row>
  </sheetData>
  <mergeCells count="2">
    <mergeCell ref="A71:L71"/>
    <mergeCell ref="O71:P71"/>
  </mergeCells>
  <conditionalFormatting sqref="B3:B70">
    <cfRule type="duplicateValues" dxfId="158" priority="1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6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7" sqref="O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404046</v>
      </c>
      <c r="B3" s="74" t="s">
        <v>395</v>
      </c>
      <c r="C3" s="9" t="s">
        <v>396</v>
      </c>
      <c r="D3" s="76" t="s">
        <v>60</v>
      </c>
      <c r="E3" s="13">
        <v>44528</v>
      </c>
      <c r="F3" s="76" t="s">
        <v>214</v>
      </c>
      <c r="G3" s="13">
        <v>44535</v>
      </c>
      <c r="H3" s="10" t="s">
        <v>399</v>
      </c>
      <c r="I3" s="1">
        <v>65</v>
      </c>
      <c r="J3" s="1">
        <v>33</v>
      </c>
      <c r="K3" s="1">
        <v>10</v>
      </c>
      <c r="L3" s="1">
        <v>9</v>
      </c>
      <c r="M3" s="80">
        <v>5.3624999999999998</v>
      </c>
      <c r="N3" s="8">
        <v>10</v>
      </c>
      <c r="O3" s="64">
        <v>7000</v>
      </c>
      <c r="P3" s="65">
        <f>Table2245789101123456789101112131415161718[[#This Row],[PEMBULATAN]]*O3</f>
        <v>70000</v>
      </c>
    </row>
    <row r="4" spans="1:16" ht="26.25" customHeight="1" x14ac:dyDescent="0.2">
      <c r="A4" s="14"/>
      <c r="B4" s="75"/>
      <c r="C4" s="9" t="s">
        <v>397</v>
      </c>
      <c r="D4" s="76" t="s">
        <v>60</v>
      </c>
      <c r="E4" s="13">
        <v>44528</v>
      </c>
      <c r="F4" s="76" t="s">
        <v>214</v>
      </c>
      <c r="G4" s="13">
        <v>44535</v>
      </c>
      <c r="H4" s="10" t="s">
        <v>399</v>
      </c>
      <c r="I4" s="1">
        <v>58</v>
      </c>
      <c r="J4" s="1">
        <v>45</v>
      </c>
      <c r="K4" s="1">
        <v>10</v>
      </c>
      <c r="L4" s="1">
        <v>24</v>
      </c>
      <c r="M4" s="80">
        <v>6.5250000000000004</v>
      </c>
      <c r="N4" s="8">
        <v>24</v>
      </c>
      <c r="O4" s="64">
        <v>7000</v>
      </c>
      <c r="P4" s="65">
        <f>Table2245789101123456789101112131415161718[[#This Row],[PEMBULATAN]]*O4</f>
        <v>168000</v>
      </c>
    </row>
    <row r="5" spans="1:16" ht="26.25" customHeight="1" x14ac:dyDescent="0.2">
      <c r="A5" s="14"/>
      <c r="B5" s="14"/>
      <c r="C5" s="9" t="s">
        <v>398</v>
      </c>
      <c r="D5" s="76" t="s">
        <v>60</v>
      </c>
      <c r="E5" s="13">
        <v>44528</v>
      </c>
      <c r="F5" s="76" t="s">
        <v>214</v>
      </c>
      <c r="G5" s="13">
        <v>44535</v>
      </c>
      <c r="H5" s="10" t="s">
        <v>399</v>
      </c>
      <c r="I5" s="1">
        <v>60</v>
      </c>
      <c r="J5" s="1">
        <v>44</v>
      </c>
      <c r="K5" s="1">
        <v>35</v>
      </c>
      <c r="L5" s="1">
        <v>5</v>
      </c>
      <c r="M5" s="80">
        <v>23.1</v>
      </c>
      <c r="N5" s="96">
        <v>23.1</v>
      </c>
      <c r="O5" s="64">
        <v>7000</v>
      </c>
      <c r="P5" s="65">
        <f>Table2245789101123456789101112131415161718[[#This Row],[PEMBULATAN]]*O5</f>
        <v>161700</v>
      </c>
    </row>
    <row r="6" spans="1:16" ht="22.5" customHeight="1" x14ac:dyDescent="0.2">
      <c r="A6" s="117" t="s">
        <v>30</v>
      </c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9"/>
      <c r="M6" s="79">
        <f>SUBTOTAL(109,Table2245789101123456789101112131415161718[KG VOLUME])</f>
        <v>34.987499999999997</v>
      </c>
      <c r="N6" s="68">
        <f>SUM(N3:N5)</f>
        <v>57.1</v>
      </c>
      <c r="O6" s="120">
        <f>SUM(P3:P5)</f>
        <v>399700</v>
      </c>
      <c r="P6" s="121"/>
    </row>
    <row r="7" spans="1:16" ht="18" customHeight="1" x14ac:dyDescent="0.2">
      <c r="A7" s="86"/>
      <c r="B7" s="56" t="s">
        <v>42</v>
      </c>
      <c r="C7" s="55"/>
      <c r="D7" s="57" t="s">
        <v>43</v>
      </c>
      <c r="E7" s="86"/>
      <c r="F7" s="86"/>
      <c r="G7" s="86"/>
      <c r="H7" s="86"/>
      <c r="I7" s="86"/>
      <c r="J7" s="86"/>
      <c r="K7" s="86"/>
      <c r="L7" s="86"/>
      <c r="M7" s="87"/>
      <c r="N7" s="88" t="s">
        <v>52</v>
      </c>
      <c r="O7" s="89"/>
      <c r="P7" s="89">
        <v>0</v>
      </c>
    </row>
    <row r="8" spans="1:16" ht="18" customHeight="1" thickBot="1" x14ac:dyDescent="0.25">
      <c r="A8" s="86"/>
      <c r="B8" s="56"/>
      <c r="C8" s="55"/>
      <c r="D8" s="57"/>
      <c r="E8" s="86"/>
      <c r="F8" s="86"/>
      <c r="G8" s="86"/>
      <c r="H8" s="86"/>
      <c r="I8" s="86"/>
      <c r="J8" s="86"/>
      <c r="K8" s="86"/>
      <c r="L8" s="86"/>
      <c r="M8" s="87"/>
      <c r="N8" s="90" t="s">
        <v>53</v>
      </c>
      <c r="O8" s="91"/>
      <c r="P8" s="91">
        <f>O6-P7</f>
        <v>399700</v>
      </c>
    </row>
    <row r="9" spans="1:16" ht="18" customHeight="1" x14ac:dyDescent="0.2">
      <c r="A9" s="11"/>
      <c r="H9" s="63"/>
      <c r="N9" s="62" t="s">
        <v>31</v>
      </c>
      <c r="P9" s="69">
        <f>P8*1%</f>
        <v>3997</v>
      </c>
    </row>
    <row r="10" spans="1:16" ht="18" customHeight="1" thickBot="1" x14ac:dyDescent="0.25">
      <c r="A10" s="11"/>
      <c r="H10" s="63"/>
      <c r="N10" s="62" t="s">
        <v>54</v>
      </c>
      <c r="P10" s="71">
        <f>P8*2%</f>
        <v>7994</v>
      </c>
    </row>
    <row r="11" spans="1:16" ht="18" customHeight="1" x14ac:dyDescent="0.2">
      <c r="A11" s="11"/>
      <c r="H11" s="63"/>
      <c r="N11" s="66" t="s">
        <v>32</v>
      </c>
      <c r="O11" s="67"/>
      <c r="P11" s="70">
        <f>P8+P9-P10</f>
        <v>395703</v>
      </c>
    </row>
    <row r="13" spans="1:16" x14ac:dyDescent="0.2">
      <c r="A13" s="11"/>
      <c r="H13" s="63"/>
      <c r="P13" s="71"/>
    </row>
    <row r="14" spans="1:16" x14ac:dyDescent="0.2">
      <c r="A14" s="11"/>
      <c r="H14" s="63"/>
      <c r="O14" s="58"/>
      <c r="P14" s="71"/>
    </row>
    <row r="15" spans="1:16" s="3" customFormat="1" x14ac:dyDescent="0.25">
      <c r="A15" s="11"/>
      <c r="B15" s="2"/>
      <c r="C15" s="2"/>
      <c r="E15" s="12"/>
      <c r="H15" s="63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</sheetData>
  <mergeCells count="2">
    <mergeCell ref="A6:L6"/>
    <mergeCell ref="O6:P6"/>
  </mergeCells>
  <conditionalFormatting sqref="B3">
    <cfRule type="duplicateValues" dxfId="142" priority="2"/>
  </conditionalFormatting>
  <conditionalFormatting sqref="B4">
    <cfRule type="duplicateValues" dxfId="141" priority="1"/>
  </conditionalFormatting>
  <conditionalFormatting sqref="B5">
    <cfRule type="duplicateValues" dxfId="140" priority="1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7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8" sqref="O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404044</v>
      </c>
      <c r="B3" s="74" t="s">
        <v>400</v>
      </c>
      <c r="C3" s="9" t="s">
        <v>401</v>
      </c>
      <c r="D3" s="76" t="s">
        <v>60</v>
      </c>
      <c r="E3" s="13">
        <v>44528</v>
      </c>
      <c r="F3" s="76" t="s">
        <v>214</v>
      </c>
      <c r="G3" s="13">
        <v>44535</v>
      </c>
      <c r="H3" s="10" t="s">
        <v>399</v>
      </c>
      <c r="I3" s="1">
        <v>56</v>
      </c>
      <c r="J3" s="1">
        <v>36</v>
      </c>
      <c r="K3" s="1">
        <v>22</v>
      </c>
      <c r="L3" s="1">
        <v>3</v>
      </c>
      <c r="M3" s="80">
        <v>11.087999999999999</v>
      </c>
      <c r="N3" s="96">
        <v>11.087999999999999</v>
      </c>
      <c r="O3" s="64">
        <v>7000</v>
      </c>
      <c r="P3" s="65">
        <f>Table224578910112345678910111213141516171819[[#This Row],[PEMBULATAN]]*O3</f>
        <v>77616</v>
      </c>
    </row>
    <row r="4" spans="1:16" ht="26.25" customHeight="1" x14ac:dyDescent="0.2">
      <c r="A4" s="14"/>
      <c r="B4" s="75"/>
      <c r="C4" s="9" t="s">
        <v>402</v>
      </c>
      <c r="D4" s="76" t="s">
        <v>60</v>
      </c>
      <c r="E4" s="13">
        <v>44528</v>
      </c>
      <c r="F4" s="76" t="s">
        <v>214</v>
      </c>
      <c r="G4" s="13">
        <v>44535</v>
      </c>
      <c r="H4" s="10" t="s">
        <v>399</v>
      </c>
      <c r="I4" s="1">
        <v>60</v>
      </c>
      <c r="J4" s="1">
        <v>60</v>
      </c>
      <c r="K4" s="1">
        <v>36</v>
      </c>
      <c r="L4" s="1">
        <v>10</v>
      </c>
      <c r="M4" s="80">
        <v>32.4</v>
      </c>
      <c r="N4" s="96">
        <v>33</v>
      </c>
      <c r="O4" s="64">
        <v>7000</v>
      </c>
      <c r="P4" s="65">
        <f>Table224578910112345678910111213141516171819[[#This Row],[PEMBULATAN]]*O4</f>
        <v>231000</v>
      </c>
    </row>
    <row r="5" spans="1:16" ht="26.25" customHeight="1" x14ac:dyDescent="0.2">
      <c r="A5" s="14"/>
      <c r="B5" s="14"/>
      <c r="C5" s="9" t="s">
        <v>403</v>
      </c>
      <c r="D5" s="76" t="s">
        <v>60</v>
      </c>
      <c r="E5" s="13">
        <v>44528</v>
      </c>
      <c r="F5" s="76" t="s">
        <v>214</v>
      </c>
      <c r="G5" s="13">
        <v>44535</v>
      </c>
      <c r="H5" s="10" t="s">
        <v>399</v>
      </c>
      <c r="I5" s="1">
        <v>60</v>
      </c>
      <c r="J5" s="1">
        <v>42</v>
      </c>
      <c r="K5" s="1">
        <v>27</v>
      </c>
      <c r="L5" s="1">
        <v>9</v>
      </c>
      <c r="M5" s="80">
        <v>17.010000000000002</v>
      </c>
      <c r="N5" s="96">
        <v>17.010000000000002</v>
      </c>
      <c r="O5" s="64">
        <v>7000</v>
      </c>
      <c r="P5" s="65">
        <f>Table224578910112345678910111213141516171819[[#This Row],[PEMBULATAN]]*O5</f>
        <v>119070.00000000001</v>
      </c>
    </row>
    <row r="6" spans="1:16" ht="26.25" customHeight="1" x14ac:dyDescent="0.2">
      <c r="A6" s="14"/>
      <c r="B6" s="14"/>
      <c r="C6" s="73" t="s">
        <v>404</v>
      </c>
      <c r="D6" s="78" t="s">
        <v>60</v>
      </c>
      <c r="E6" s="13">
        <v>44528</v>
      </c>
      <c r="F6" s="76" t="s">
        <v>214</v>
      </c>
      <c r="G6" s="13">
        <v>44535</v>
      </c>
      <c r="H6" s="77" t="s">
        <v>399</v>
      </c>
      <c r="I6" s="16">
        <v>56</v>
      </c>
      <c r="J6" s="16">
        <v>55</v>
      </c>
      <c r="K6" s="16">
        <v>45</v>
      </c>
      <c r="L6" s="16">
        <v>10</v>
      </c>
      <c r="M6" s="81">
        <v>34.65</v>
      </c>
      <c r="N6" s="96">
        <v>34.65</v>
      </c>
      <c r="O6" s="64">
        <v>7000</v>
      </c>
      <c r="P6" s="65">
        <f>Table224578910112345678910111213141516171819[[#This Row],[PEMBULATAN]]*O6</f>
        <v>242550</v>
      </c>
    </row>
    <row r="7" spans="1:16" ht="22.5" customHeight="1" x14ac:dyDescent="0.2">
      <c r="A7" s="117" t="s">
        <v>30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9"/>
      <c r="M7" s="79">
        <f>SUBTOTAL(109,Table224578910112345678910111213141516171819[KG VOLUME])</f>
        <v>95.147999999999996</v>
      </c>
      <c r="N7" s="68">
        <f>SUM(N3:N6)</f>
        <v>95.74799999999999</v>
      </c>
      <c r="O7" s="120">
        <f>SUM(P3:P6)</f>
        <v>670236</v>
      </c>
      <c r="P7" s="121"/>
    </row>
    <row r="8" spans="1:16" ht="18" customHeight="1" x14ac:dyDescent="0.2">
      <c r="A8" s="86"/>
      <c r="B8" s="56" t="s">
        <v>42</v>
      </c>
      <c r="C8" s="55"/>
      <c r="D8" s="57" t="s">
        <v>43</v>
      </c>
      <c r="E8" s="86"/>
      <c r="F8" s="86"/>
      <c r="G8" s="86"/>
      <c r="H8" s="86"/>
      <c r="I8" s="86"/>
      <c r="J8" s="86"/>
      <c r="K8" s="86"/>
      <c r="L8" s="86"/>
      <c r="M8" s="87"/>
      <c r="N8" s="88" t="s">
        <v>52</v>
      </c>
      <c r="O8" s="89"/>
      <c r="P8" s="89">
        <v>0</v>
      </c>
    </row>
    <row r="9" spans="1:16" ht="18" customHeight="1" thickBot="1" x14ac:dyDescent="0.25">
      <c r="A9" s="86"/>
      <c r="B9" s="56"/>
      <c r="C9" s="55"/>
      <c r="D9" s="57"/>
      <c r="E9" s="86"/>
      <c r="F9" s="86"/>
      <c r="G9" s="86"/>
      <c r="H9" s="86"/>
      <c r="I9" s="86"/>
      <c r="J9" s="86"/>
      <c r="K9" s="86"/>
      <c r="L9" s="86"/>
      <c r="M9" s="87"/>
      <c r="N9" s="90" t="s">
        <v>53</v>
      </c>
      <c r="O9" s="91"/>
      <c r="P9" s="91">
        <f>O7-P8</f>
        <v>670236</v>
      </c>
    </row>
    <row r="10" spans="1:16" ht="18" customHeight="1" x14ac:dyDescent="0.2">
      <c r="A10" s="11"/>
      <c r="H10" s="63"/>
      <c r="N10" s="62" t="s">
        <v>31</v>
      </c>
      <c r="P10" s="69">
        <f>P9*1%</f>
        <v>6702.3600000000006</v>
      </c>
    </row>
    <row r="11" spans="1:16" ht="18" customHeight="1" thickBot="1" x14ac:dyDescent="0.25">
      <c r="A11" s="11"/>
      <c r="H11" s="63"/>
      <c r="N11" s="62" t="s">
        <v>54</v>
      </c>
      <c r="P11" s="71">
        <f>P9*2%</f>
        <v>13404.720000000001</v>
      </c>
    </row>
    <row r="12" spans="1:16" ht="18" customHeight="1" x14ac:dyDescent="0.2">
      <c r="A12" s="11"/>
      <c r="H12" s="63"/>
      <c r="N12" s="66" t="s">
        <v>32</v>
      </c>
      <c r="O12" s="67"/>
      <c r="P12" s="70">
        <f>P9+P10-P11</f>
        <v>663533.64</v>
      </c>
    </row>
    <row r="14" spans="1:16" x14ac:dyDescent="0.2">
      <c r="A14" s="11"/>
      <c r="H14" s="63"/>
      <c r="P14" s="71"/>
    </row>
    <row r="15" spans="1:16" x14ac:dyDescent="0.2">
      <c r="A15" s="11"/>
      <c r="H15" s="63"/>
      <c r="O15" s="58"/>
      <c r="P15" s="71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</sheetData>
  <mergeCells count="2">
    <mergeCell ref="A7:L7"/>
    <mergeCell ref="O7:P7"/>
  </mergeCells>
  <conditionalFormatting sqref="B3">
    <cfRule type="duplicateValues" dxfId="124" priority="2"/>
  </conditionalFormatting>
  <conditionalFormatting sqref="B4">
    <cfRule type="duplicateValues" dxfId="123" priority="1"/>
  </conditionalFormatting>
  <conditionalFormatting sqref="B5:B6">
    <cfRule type="duplicateValues" dxfId="122" priority="1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D15" sqref="D1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404033</v>
      </c>
      <c r="B3" s="74" t="s">
        <v>57</v>
      </c>
      <c r="C3" s="9" t="s">
        <v>58</v>
      </c>
      <c r="D3" s="76" t="s">
        <v>60</v>
      </c>
      <c r="E3" s="13">
        <v>44521</v>
      </c>
      <c r="F3" s="76" t="s">
        <v>61</v>
      </c>
      <c r="G3" s="13">
        <v>44528</v>
      </c>
      <c r="H3" s="10" t="s">
        <v>62</v>
      </c>
      <c r="I3" s="1">
        <v>72</v>
      </c>
      <c r="J3" s="1">
        <v>45</v>
      </c>
      <c r="K3" s="1">
        <v>63</v>
      </c>
      <c r="L3" s="1">
        <v>15</v>
      </c>
      <c r="M3" s="80">
        <v>51.03</v>
      </c>
      <c r="N3" s="96">
        <v>51.03</v>
      </c>
      <c r="O3" s="64">
        <v>7000</v>
      </c>
      <c r="P3" s="65">
        <f>Table224578910112[[#This Row],[PEMBULATAN]]*O3</f>
        <v>357210</v>
      </c>
    </row>
    <row r="4" spans="1:16" ht="26.25" customHeight="1" x14ac:dyDescent="0.2">
      <c r="A4" s="14"/>
      <c r="B4" s="75"/>
      <c r="C4" s="9" t="s">
        <v>59</v>
      </c>
      <c r="D4" s="76" t="s">
        <v>60</v>
      </c>
      <c r="E4" s="13">
        <v>44521</v>
      </c>
      <c r="F4" s="76" t="s">
        <v>61</v>
      </c>
      <c r="G4" s="13">
        <v>44528</v>
      </c>
      <c r="H4" s="10" t="s">
        <v>62</v>
      </c>
      <c r="I4" s="1">
        <v>38</v>
      </c>
      <c r="J4" s="1">
        <v>20</v>
      </c>
      <c r="K4" s="1">
        <v>18</v>
      </c>
      <c r="L4" s="1">
        <v>7</v>
      </c>
      <c r="M4" s="80">
        <v>3.42</v>
      </c>
      <c r="N4" s="8">
        <v>8</v>
      </c>
      <c r="O4" s="64">
        <v>7000</v>
      </c>
      <c r="P4" s="65">
        <f>Table224578910112[[#This Row],[PEMBULATAN]]*O4</f>
        <v>56000</v>
      </c>
    </row>
    <row r="5" spans="1:16" ht="22.5" customHeight="1" x14ac:dyDescent="0.2">
      <c r="A5" s="117" t="s">
        <v>30</v>
      </c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9"/>
      <c r="M5" s="79">
        <f>SUBTOTAL(109,Table224578910112[KG VOLUME])</f>
        <v>54.45</v>
      </c>
      <c r="N5" s="68">
        <f>SUM(N3:N4)</f>
        <v>59.03</v>
      </c>
      <c r="O5" s="120">
        <f>SUM(P3:P4)</f>
        <v>413210</v>
      </c>
      <c r="P5" s="121"/>
    </row>
    <row r="6" spans="1:16" ht="18" customHeight="1" x14ac:dyDescent="0.2">
      <c r="A6" s="86"/>
      <c r="B6" s="56" t="s">
        <v>42</v>
      </c>
      <c r="C6" s="55"/>
      <c r="D6" s="57" t="s">
        <v>43</v>
      </c>
      <c r="E6" s="86"/>
      <c r="F6" s="86"/>
      <c r="G6" s="86"/>
      <c r="H6" s="86"/>
      <c r="I6" s="86"/>
      <c r="J6" s="86"/>
      <c r="K6" s="86"/>
      <c r="L6" s="86"/>
      <c r="M6" s="87"/>
      <c r="N6" s="88" t="s">
        <v>52</v>
      </c>
      <c r="O6" s="89"/>
      <c r="P6" s="89">
        <v>0</v>
      </c>
    </row>
    <row r="7" spans="1:16" ht="18" customHeight="1" thickBot="1" x14ac:dyDescent="0.25">
      <c r="A7" s="86"/>
      <c r="B7" s="56"/>
      <c r="C7" s="55"/>
      <c r="D7" s="57"/>
      <c r="E7" s="86"/>
      <c r="F7" s="86"/>
      <c r="G7" s="86"/>
      <c r="H7" s="86"/>
      <c r="I7" s="86"/>
      <c r="J7" s="86"/>
      <c r="K7" s="86"/>
      <c r="L7" s="86"/>
      <c r="M7" s="87"/>
      <c r="N7" s="90" t="s">
        <v>53</v>
      </c>
      <c r="O7" s="91"/>
      <c r="P7" s="91">
        <f>O5-P6</f>
        <v>413210</v>
      </c>
    </row>
    <row r="8" spans="1:16" ht="18" customHeight="1" x14ac:dyDescent="0.2">
      <c r="A8" s="11"/>
      <c r="H8" s="63"/>
      <c r="N8" s="62" t="s">
        <v>31</v>
      </c>
      <c r="P8" s="69">
        <f>P7*1%</f>
        <v>4132.1000000000004</v>
      </c>
    </row>
    <row r="9" spans="1:16" ht="18" customHeight="1" thickBot="1" x14ac:dyDescent="0.25">
      <c r="A9" s="11"/>
      <c r="H9" s="63"/>
      <c r="N9" s="62" t="s">
        <v>54</v>
      </c>
      <c r="P9" s="71">
        <f>P7*2%</f>
        <v>8264.2000000000007</v>
      </c>
    </row>
    <row r="10" spans="1:16" ht="18" customHeight="1" x14ac:dyDescent="0.2">
      <c r="A10" s="11"/>
      <c r="H10" s="63"/>
      <c r="N10" s="66" t="s">
        <v>32</v>
      </c>
      <c r="O10" s="67"/>
      <c r="P10" s="70">
        <f>P7+P8-P9</f>
        <v>409077.89999999997</v>
      </c>
    </row>
    <row r="12" spans="1:16" x14ac:dyDescent="0.2">
      <c r="A12" s="11"/>
      <c r="H12" s="63"/>
      <c r="P12" s="71"/>
    </row>
    <row r="13" spans="1:16" x14ac:dyDescent="0.2">
      <c r="A13" s="11"/>
      <c r="H13" s="63"/>
      <c r="O13" s="58"/>
      <c r="P13" s="71"/>
    </row>
    <row r="14" spans="1:16" s="3" customFormat="1" x14ac:dyDescent="0.25">
      <c r="A14" s="11"/>
      <c r="B14" s="2"/>
      <c r="C14" s="2"/>
      <c r="E14" s="12"/>
      <c r="H14" s="63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3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</sheetData>
  <mergeCells count="2">
    <mergeCell ref="A5:L5"/>
    <mergeCell ref="O5:P5"/>
  </mergeCells>
  <conditionalFormatting sqref="B3">
    <cfRule type="duplicateValues" dxfId="423" priority="2"/>
  </conditionalFormatting>
  <conditionalFormatting sqref="B4">
    <cfRule type="duplicateValues" dxfId="422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1"/>
  <sheetViews>
    <sheetView zoomScale="110" zoomScaleNormal="110" workbookViewId="0">
      <pane xSplit="3" ySplit="2" topLeftCell="D23" activePane="bottomRight" state="frozen"/>
      <selection pane="topRight" activeCell="B1" sqref="B1"/>
      <selection pane="bottomLeft" activeCell="A3" sqref="A3"/>
      <selection pane="bottomRight" activeCell="H28" sqref="H2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403725</v>
      </c>
      <c r="B3" s="74" t="s">
        <v>405</v>
      </c>
      <c r="C3" s="9" t="s">
        <v>406</v>
      </c>
      <c r="D3" s="76" t="s">
        <v>60</v>
      </c>
      <c r="E3" s="13">
        <v>44528</v>
      </c>
      <c r="F3" s="76" t="s">
        <v>214</v>
      </c>
      <c r="G3" s="13">
        <v>44535</v>
      </c>
      <c r="H3" s="10" t="s">
        <v>399</v>
      </c>
      <c r="I3" s="1">
        <v>86</v>
      </c>
      <c r="J3" s="1">
        <v>30</v>
      </c>
      <c r="K3" s="1">
        <v>30</v>
      </c>
      <c r="L3" s="1">
        <v>7</v>
      </c>
      <c r="M3" s="80">
        <v>19.350000000000001</v>
      </c>
      <c r="N3" s="8">
        <v>20</v>
      </c>
      <c r="O3" s="64">
        <v>7000</v>
      </c>
      <c r="P3" s="65">
        <f>Table22457891011234567891011121314151617181920[[#This Row],[PEMBULATAN]]*O3</f>
        <v>140000</v>
      </c>
    </row>
    <row r="4" spans="1:16" ht="26.25" customHeight="1" x14ac:dyDescent="0.2">
      <c r="A4" s="14"/>
      <c r="B4" s="75"/>
      <c r="C4" s="9" t="s">
        <v>407</v>
      </c>
      <c r="D4" s="76" t="s">
        <v>60</v>
      </c>
      <c r="E4" s="13">
        <v>44528</v>
      </c>
      <c r="F4" s="76" t="s">
        <v>214</v>
      </c>
      <c r="G4" s="13">
        <v>44535</v>
      </c>
      <c r="H4" s="10" t="s">
        <v>399</v>
      </c>
      <c r="I4" s="1">
        <v>68</v>
      </c>
      <c r="J4" s="1">
        <v>25</v>
      </c>
      <c r="K4" s="1">
        <v>16</v>
      </c>
      <c r="L4" s="1">
        <v>5</v>
      </c>
      <c r="M4" s="80">
        <v>6.8</v>
      </c>
      <c r="N4" s="96">
        <v>6.8</v>
      </c>
      <c r="O4" s="64">
        <v>7000</v>
      </c>
      <c r="P4" s="65">
        <f>Table22457891011234567891011121314151617181920[[#This Row],[PEMBULATAN]]*O4</f>
        <v>47600</v>
      </c>
    </row>
    <row r="5" spans="1:16" ht="26.25" customHeight="1" x14ac:dyDescent="0.2">
      <c r="A5" s="14"/>
      <c r="B5" s="14"/>
      <c r="C5" s="9" t="s">
        <v>408</v>
      </c>
      <c r="D5" s="76" t="s">
        <v>60</v>
      </c>
      <c r="E5" s="13">
        <v>44528</v>
      </c>
      <c r="F5" s="76" t="s">
        <v>214</v>
      </c>
      <c r="G5" s="13">
        <v>44535</v>
      </c>
      <c r="H5" s="10" t="s">
        <v>399</v>
      </c>
      <c r="I5" s="1">
        <v>56</v>
      </c>
      <c r="J5" s="1">
        <v>40</v>
      </c>
      <c r="K5" s="1">
        <v>22</v>
      </c>
      <c r="L5" s="1">
        <v>5</v>
      </c>
      <c r="M5" s="80">
        <v>12.32</v>
      </c>
      <c r="N5" s="96">
        <v>13</v>
      </c>
      <c r="O5" s="64">
        <v>7000</v>
      </c>
      <c r="P5" s="65">
        <f>Table22457891011234567891011121314151617181920[[#This Row],[PEMBULATAN]]*O5</f>
        <v>91000</v>
      </c>
    </row>
    <row r="6" spans="1:16" ht="26.25" customHeight="1" x14ac:dyDescent="0.2">
      <c r="A6" s="14"/>
      <c r="B6" s="14"/>
      <c r="C6" s="73" t="s">
        <v>409</v>
      </c>
      <c r="D6" s="78" t="s">
        <v>60</v>
      </c>
      <c r="E6" s="13">
        <v>44528</v>
      </c>
      <c r="F6" s="76" t="s">
        <v>214</v>
      </c>
      <c r="G6" s="13">
        <v>44535</v>
      </c>
      <c r="H6" s="77" t="s">
        <v>399</v>
      </c>
      <c r="I6" s="16">
        <v>52</v>
      </c>
      <c r="J6" s="16">
        <v>36</v>
      </c>
      <c r="K6" s="16">
        <v>25</v>
      </c>
      <c r="L6" s="16">
        <v>5</v>
      </c>
      <c r="M6" s="81">
        <v>11.7</v>
      </c>
      <c r="N6" s="96">
        <v>11.7</v>
      </c>
      <c r="O6" s="64">
        <v>7000</v>
      </c>
      <c r="P6" s="65">
        <f>Table22457891011234567891011121314151617181920[[#This Row],[PEMBULATAN]]*O6</f>
        <v>81900</v>
      </c>
    </row>
    <row r="7" spans="1:16" ht="26.25" customHeight="1" x14ac:dyDescent="0.2">
      <c r="A7" s="14"/>
      <c r="B7" s="14"/>
      <c r="C7" s="73" t="s">
        <v>410</v>
      </c>
      <c r="D7" s="78" t="s">
        <v>60</v>
      </c>
      <c r="E7" s="13">
        <v>44528</v>
      </c>
      <c r="F7" s="76" t="s">
        <v>214</v>
      </c>
      <c r="G7" s="13">
        <v>44535</v>
      </c>
      <c r="H7" s="77" t="s">
        <v>399</v>
      </c>
      <c r="I7" s="16">
        <v>44</v>
      </c>
      <c r="J7" s="16">
        <v>32</v>
      </c>
      <c r="K7" s="16">
        <v>20</v>
      </c>
      <c r="L7" s="16">
        <v>4</v>
      </c>
      <c r="M7" s="81">
        <v>7.04</v>
      </c>
      <c r="N7" s="96">
        <v>7.04</v>
      </c>
      <c r="O7" s="64">
        <v>7000</v>
      </c>
      <c r="P7" s="65">
        <f>Table22457891011234567891011121314151617181920[[#This Row],[PEMBULATAN]]*O7</f>
        <v>49280</v>
      </c>
    </row>
    <row r="8" spans="1:16" ht="26.25" customHeight="1" x14ac:dyDescent="0.2">
      <c r="A8" s="14"/>
      <c r="B8" s="14"/>
      <c r="C8" s="73" t="s">
        <v>411</v>
      </c>
      <c r="D8" s="78" t="s">
        <v>60</v>
      </c>
      <c r="E8" s="13">
        <v>44528</v>
      </c>
      <c r="F8" s="76" t="s">
        <v>214</v>
      </c>
      <c r="G8" s="13">
        <v>44535</v>
      </c>
      <c r="H8" s="77" t="s">
        <v>399</v>
      </c>
      <c r="I8" s="16">
        <v>37</v>
      </c>
      <c r="J8" s="16">
        <v>27</v>
      </c>
      <c r="K8" s="16">
        <v>22</v>
      </c>
      <c r="L8" s="16">
        <v>4</v>
      </c>
      <c r="M8" s="81">
        <v>5.4945000000000004</v>
      </c>
      <c r="N8" s="96">
        <v>6</v>
      </c>
      <c r="O8" s="64">
        <v>7000</v>
      </c>
      <c r="P8" s="65">
        <f>Table22457891011234567891011121314151617181920[[#This Row],[PEMBULATAN]]*O8</f>
        <v>42000</v>
      </c>
    </row>
    <row r="9" spans="1:16" ht="26.25" customHeight="1" x14ac:dyDescent="0.2">
      <c r="A9" s="14"/>
      <c r="B9" s="14"/>
      <c r="C9" s="73" t="s">
        <v>412</v>
      </c>
      <c r="D9" s="78" t="s">
        <v>60</v>
      </c>
      <c r="E9" s="13">
        <v>44528</v>
      </c>
      <c r="F9" s="76" t="s">
        <v>214</v>
      </c>
      <c r="G9" s="13">
        <v>44535</v>
      </c>
      <c r="H9" s="77" t="s">
        <v>399</v>
      </c>
      <c r="I9" s="16">
        <v>104</v>
      </c>
      <c r="J9" s="16">
        <v>32</v>
      </c>
      <c r="K9" s="16">
        <v>60</v>
      </c>
      <c r="L9" s="16">
        <v>30</v>
      </c>
      <c r="M9" s="81">
        <v>49.92</v>
      </c>
      <c r="N9" s="96">
        <v>49.92</v>
      </c>
      <c r="O9" s="64">
        <v>7000</v>
      </c>
      <c r="P9" s="65">
        <f>Table22457891011234567891011121314151617181920[[#This Row],[PEMBULATAN]]*O9</f>
        <v>349440</v>
      </c>
    </row>
    <row r="10" spans="1:16" ht="26.25" customHeight="1" x14ac:dyDescent="0.2">
      <c r="A10" s="14"/>
      <c r="B10" s="14"/>
      <c r="C10" s="73" t="s">
        <v>413</v>
      </c>
      <c r="D10" s="78" t="s">
        <v>60</v>
      </c>
      <c r="E10" s="13">
        <v>44528</v>
      </c>
      <c r="F10" s="76" t="s">
        <v>214</v>
      </c>
      <c r="G10" s="13">
        <v>44535</v>
      </c>
      <c r="H10" s="77" t="s">
        <v>399</v>
      </c>
      <c r="I10" s="16">
        <v>42</v>
      </c>
      <c r="J10" s="16">
        <v>58</v>
      </c>
      <c r="K10" s="16">
        <v>38</v>
      </c>
      <c r="L10" s="16">
        <v>12</v>
      </c>
      <c r="M10" s="81">
        <v>23.141999999999999</v>
      </c>
      <c r="N10" s="96">
        <v>23.141999999999999</v>
      </c>
      <c r="O10" s="64">
        <v>7000</v>
      </c>
      <c r="P10" s="65">
        <f>Table22457891011234567891011121314151617181920[[#This Row],[PEMBULATAN]]*O10</f>
        <v>161994</v>
      </c>
    </row>
    <row r="11" spans="1:16" ht="26.25" customHeight="1" x14ac:dyDescent="0.2">
      <c r="A11" s="14"/>
      <c r="B11" s="14"/>
      <c r="C11" s="73" t="s">
        <v>414</v>
      </c>
      <c r="D11" s="78" t="s">
        <v>60</v>
      </c>
      <c r="E11" s="13">
        <v>44528</v>
      </c>
      <c r="F11" s="76" t="s">
        <v>214</v>
      </c>
      <c r="G11" s="13">
        <v>44535</v>
      </c>
      <c r="H11" s="77" t="s">
        <v>399</v>
      </c>
      <c r="I11" s="16">
        <v>48</v>
      </c>
      <c r="J11" s="16">
        <v>40</v>
      </c>
      <c r="K11" s="16">
        <v>35</v>
      </c>
      <c r="L11" s="16">
        <v>6</v>
      </c>
      <c r="M11" s="81">
        <v>16.8</v>
      </c>
      <c r="N11" s="96">
        <v>16.8</v>
      </c>
      <c r="O11" s="64">
        <v>7000</v>
      </c>
      <c r="P11" s="65">
        <f>Table22457891011234567891011121314151617181920[[#This Row],[PEMBULATAN]]*O11</f>
        <v>117600</v>
      </c>
    </row>
    <row r="12" spans="1:16" ht="26.25" customHeight="1" x14ac:dyDescent="0.2">
      <c r="A12" s="14"/>
      <c r="B12" s="14"/>
      <c r="C12" s="73" t="s">
        <v>415</v>
      </c>
      <c r="D12" s="78" t="s">
        <v>60</v>
      </c>
      <c r="E12" s="13">
        <v>44528</v>
      </c>
      <c r="F12" s="76" t="s">
        <v>214</v>
      </c>
      <c r="G12" s="13">
        <v>44535</v>
      </c>
      <c r="H12" s="77" t="s">
        <v>399</v>
      </c>
      <c r="I12" s="16">
        <v>37</v>
      </c>
      <c r="J12" s="16">
        <v>37</v>
      </c>
      <c r="K12" s="16">
        <v>37</v>
      </c>
      <c r="L12" s="16">
        <v>5</v>
      </c>
      <c r="M12" s="81">
        <v>12.66325</v>
      </c>
      <c r="N12" s="96">
        <v>12.66325</v>
      </c>
      <c r="O12" s="64">
        <v>7000</v>
      </c>
      <c r="P12" s="65">
        <f>Table22457891011234567891011121314151617181920[[#This Row],[PEMBULATAN]]*O12</f>
        <v>88642.75</v>
      </c>
    </row>
    <row r="13" spans="1:16" ht="26.25" customHeight="1" x14ac:dyDescent="0.2">
      <c r="A13" s="14"/>
      <c r="B13" s="14"/>
      <c r="C13" s="73" t="s">
        <v>416</v>
      </c>
      <c r="D13" s="78" t="s">
        <v>60</v>
      </c>
      <c r="E13" s="13">
        <v>44528</v>
      </c>
      <c r="F13" s="76" t="s">
        <v>214</v>
      </c>
      <c r="G13" s="13">
        <v>44535</v>
      </c>
      <c r="H13" s="77" t="s">
        <v>399</v>
      </c>
      <c r="I13" s="16">
        <v>88</v>
      </c>
      <c r="J13" s="16">
        <v>25</v>
      </c>
      <c r="K13" s="16">
        <v>15</v>
      </c>
      <c r="L13" s="16">
        <v>6</v>
      </c>
      <c r="M13" s="81">
        <v>8.25</v>
      </c>
      <c r="N13" s="96">
        <v>8.25</v>
      </c>
      <c r="O13" s="64">
        <v>7000</v>
      </c>
      <c r="P13" s="65">
        <f>Table22457891011234567891011121314151617181920[[#This Row],[PEMBULATAN]]*O13</f>
        <v>57750</v>
      </c>
    </row>
    <row r="14" spans="1:16" ht="26.25" customHeight="1" x14ac:dyDescent="0.2">
      <c r="A14" s="14"/>
      <c r="B14" s="14"/>
      <c r="C14" s="73" t="s">
        <v>417</v>
      </c>
      <c r="D14" s="78" t="s">
        <v>60</v>
      </c>
      <c r="E14" s="13">
        <v>44528</v>
      </c>
      <c r="F14" s="76" t="s">
        <v>214</v>
      </c>
      <c r="G14" s="13">
        <v>44535</v>
      </c>
      <c r="H14" s="77" t="s">
        <v>399</v>
      </c>
      <c r="I14" s="16">
        <v>54</v>
      </c>
      <c r="J14" s="16">
        <v>40</v>
      </c>
      <c r="K14" s="16">
        <v>27</v>
      </c>
      <c r="L14" s="16">
        <v>10</v>
      </c>
      <c r="M14" s="81">
        <v>14.58</v>
      </c>
      <c r="N14" s="96">
        <v>14.58</v>
      </c>
      <c r="O14" s="64">
        <v>7000</v>
      </c>
      <c r="P14" s="65">
        <f>Table22457891011234567891011121314151617181920[[#This Row],[PEMBULATAN]]*O14</f>
        <v>102060</v>
      </c>
    </row>
    <row r="15" spans="1:16" ht="26.25" customHeight="1" x14ac:dyDescent="0.2">
      <c r="A15" s="14"/>
      <c r="B15" s="14"/>
      <c r="C15" s="73" t="s">
        <v>418</v>
      </c>
      <c r="D15" s="78" t="s">
        <v>60</v>
      </c>
      <c r="E15" s="13">
        <v>44528</v>
      </c>
      <c r="F15" s="76" t="s">
        <v>214</v>
      </c>
      <c r="G15" s="13">
        <v>44535</v>
      </c>
      <c r="H15" s="77" t="s">
        <v>399</v>
      </c>
      <c r="I15" s="16">
        <v>52</v>
      </c>
      <c r="J15" s="16">
        <v>40</v>
      </c>
      <c r="K15" s="16">
        <v>32</v>
      </c>
      <c r="L15" s="16">
        <v>13</v>
      </c>
      <c r="M15" s="81">
        <v>16.64</v>
      </c>
      <c r="N15" s="96">
        <v>16.64</v>
      </c>
      <c r="O15" s="64">
        <v>7000</v>
      </c>
      <c r="P15" s="65">
        <f>Table22457891011234567891011121314151617181920[[#This Row],[PEMBULATAN]]*O15</f>
        <v>116480</v>
      </c>
    </row>
    <row r="16" spans="1:16" ht="26.25" customHeight="1" x14ac:dyDescent="0.2">
      <c r="A16" s="14"/>
      <c r="B16" s="14"/>
      <c r="C16" s="73" t="s">
        <v>419</v>
      </c>
      <c r="D16" s="78" t="s">
        <v>60</v>
      </c>
      <c r="E16" s="13">
        <v>44528</v>
      </c>
      <c r="F16" s="76" t="s">
        <v>214</v>
      </c>
      <c r="G16" s="13">
        <v>44535</v>
      </c>
      <c r="H16" s="77" t="s">
        <v>399</v>
      </c>
      <c r="I16" s="16">
        <v>46</v>
      </c>
      <c r="J16" s="16">
        <v>25</v>
      </c>
      <c r="K16" s="16">
        <v>35</v>
      </c>
      <c r="L16" s="16">
        <v>15</v>
      </c>
      <c r="M16" s="81">
        <v>10.0625</v>
      </c>
      <c r="N16" s="96">
        <v>15</v>
      </c>
      <c r="O16" s="64">
        <v>7000</v>
      </c>
      <c r="P16" s="65">
        <f>Table22457891011234567891011121314151617181920[[#This Row],[PEMBULATAN]]*O16</f>
        <v>105000</v>
      </c>
    </row>
    <row r="17" spans="1:16" ht="26.25" customHeight="1" x14ac:dyDescent="0.2">
      <c r="A17" s="14"/>
      <c r="B17" s="14"/>
      <c r="C17" s="73" t="s">
        <v>420</v>
      </c>
      <c r="D17" s="78" t="s">
        <v>60</v>
      </c>
      <c r="E17" s="13">
        <v>44528</v>
      </c>
      <c r="F17" s="76" t="s">
        <v>214</v>
      </c>
      <c r="G17" s="13">
        <v>44535</v>
      </c>
      <c r="H17" s="77" t="s">
        <v>399</v>
      </c>
      <c r="I17" s="16">
        <v>66</v>
      </c>
      <c r="J17" s="16">
        <v>38</v>
      </c>
      <c r="K17" s="16">
        <v>30</v>
      </c>
      <c r="L17" s="16">
        <v>10</v>
      </c>
      <c r="M17" s="81">
        <v>18.809999999999999</v>
      </c>
      <c r="N17" s="96">
        <v>18.809999999999999</v>
      </c>
      <c r="O17" s="64">
        <v>7000</v>
      </c>
      <c r="P17" s="65">
        <f>Table22457891011234567891011121314151617181920[[#This Row],[PEMBULATAN]]*O17</f>
        <v>131670</v>
      </c>
    </row>
    <row r="18" spans="1:16" ht="26.25" customHeight="1" x14ac:dyDescent="0.2">
      <c r="A18" s="14"/>
      <c r="B18" s="14"/>
      <c r="C18" s="73" t="s">
        <v>421</v>
      </c>
      <c r="D18" s="78" t="s">
        <v>60</v>
      </c>
      <c r="E18" s="13">
        <v>44528</v>
      </c>
      <c r="F18" s="76" t="s">
        <v>214</v>
      </c>
      <c r="G18" s="13">
        <v>44535</v>
      </c>
      <c r="H18" s="77" t="s">
        <v>399</v>
      </c>
      <c r="I18" s="16">
        <v>36</v>
      </c>
      <c r="J18" s="16">
        <v>30</v>
      </c>
      <c r="K18" s="16">
        <v>30</v>
      </c>
      <c r="L18" s="16">
        <v>5</v>
      </c>
      <c r="M18" s="81">
        <v>8.1</v>
      </c>
      <c r="N18" s="96">
        <v>8.1</v>
      </c>
      <c r="O18" s="64">
        <v>7000</v>
      </c>
      <c r="P18" s="65">
        <f>Table22457891011234567891011121314151617181920[[#This Row],[PEMBULATAN]]*O18</f>
        <v>56700</v>
      </c>
    </row>
    <row r="19" spans="1:16" ht="26.25" customHeight="1" x14ac:dyDescent="0.2">
      <c r="A19" s="14"/>
      <c r="B19" s="14"/>
      <c r="C19" s="73" t="s">
        <v>422</v>
      </c>
      <c r="D19" s="78" t="s">
        <v>60</v>
      </c>
      <c r="E19" s="13">
        <v>44528</v>
      </c>
      <c r="F19" s="76" t="s">
        <v>214</v>
      </c>
      <c r="G19" s="13">
        <v>44535</v>
      </c>
      <c r="H19" s="77" t="s">
        <v>399</v>
      </c>
      <c r="I19" s="16">
        <v>40</v>
      </c>
      <c r="J19" s="16">
        <v>30</v>
      </c>
      <c r="K19" s="16">
        <v>25</v>
      </c>
      <c r="L19" s="16">
        <v>5</v>
      </c>
      <c r="M19" s="81">
        <v>7.5</v>
      </c>
      <c r="N19" s="96">
        <v>9</v>
      </c>
      <c r="O19" s="64">
        <v>7000</v>
      </c>
      <c r="P19" s="65">
        <f>Table22457891011234567891011121314151617181920[[#This Row],[PEMBULATAN]]*O19</f>
        <v>63000</v>
      </c>
    </row>
    <row r="20" spans="1:16" ht="26.25" customHeight="1" x14ac:dyDescent="0.2">
      <c r="A20" s="14"/>
      <c r="B20" s="14"/>
      <c r="C20" s="73" t="s">
        <v>423</v>
      </c>
      <c r="D20" s="78" t="s">
        <v>60</v>
      </c>
      <c r="E20" s="13">
        <v>44528</v>
      </c>
      <c r="F20" s="76" t="s">
        <v>214</v>
      </c>
      <c r="G20" s="13">
        <v>44535</v>
      </c>
      <c r="H20" s="77" t="s">
        <v>399</v>
      </c>
      <c r="I20" s="16">
        <v>38</v>
      </c>
      <c r="J20" s="16">
        <v>38</v>
      </c>
      <c r="K20" s="16">
        <v>35</v>
      </c>
      <c r="L20" s="16">
        <v>12</v>
      </c>
      <c r="M20" s="81">
        <v>12.635</v>
      </c>
      <c r="N20" s="96">
        <v>12.635</v>
      </c>
      <c r="O20" s="64">
        <v>7000</v>
      </c>
      <c r="P20" s="65">
        <f>Table22457891011234567891011121314151617181920[[#This Row],[PEMBULATAN]]*O20</f>
        <v>88445</v>
      </c>
    </row>
    <row r="21" spans="1:16" ht="26.25" customHeight="1" x14ac:dyDescent="0.2">
      <c r="A21" s="14"/>
      <c r="B21" s="14"/>
      <c r="C21" s="73" t="s">
        <v>424</v>
      </c>
      <c r="D21" s="78" t="s">
        <v>60</v>
      </c>
      <c r="E21" s="13">
        <v>44528</v>
      </c>
      <c r="F21" s="76" t="s">
        <v>214</v>
      </c>
      <c r="G21" s="13">
        <v>44535</v>
      </c>
      <c r="H21" s="77" t="s">
        <v>399</v>
      </c>
      <c r="I21" s="16">
        <v>70</v>
      </c>
      <c r="J21" s="16">
        <v>60</v>
      </c>
      <c r="K21" s="16">
        <v>68</v>
      </c>
      <c r="L21" s="16">
        <v>50</v>
      </c>
      <c r="M21" s="81">
        <v>71.400000000000006</v>
      </c>
      <c r="N21" s="96">
        <v>72</v>
      </c>
      <c r="O21" s="64">
        <v>7000</v>
      </c>
      <c r="P21" s="65">
        <f>Table22457891011234567891011121314151617181920[[#This Row],[PEMBULATAN]]*O21</f>
        <v>504000</v>
      </c>
    </row>
    <row r="22" spans="1:16" ht="26.25" customHeight="1" x14ac:dyDescent="0.2">
      <c r="A22" s="14"/>
      <c r="B22" s="14"/>
      <c r="C22" s="73" t="s">
        <v>425</v>
      </c>
      <c r="D22" s="78" t="s">
        <v>60</v>
      </c>
      <c r="E22" s="13">
        <v>44528</v>
      </c>
      <c r="F22" s="76" t="s">
        <v>214</v>
      </c>
      <c r="G22" s="13">
        <v>44535</v>
      </c>
      <c r="H22" s="77" t="s">
        <v>399</v>
      </c>
      <c r="I22" s="16">
        <v>70</v>
      </c>
      <c r="J22" s="16">
        <v>60</v>
      </c>
      <c r="K22" s="16">
        <v>68</v>
      </c>
      <c r="L22" s="16">
        <v>50</v>
      </c>
      <c r="M22" s="81">
        <v>71.400000000000006</v>
      </c>
      <c r="N22" s="96">
        <v>72</v>
      </c>
      <c r="O22" s="64">
        <v>7000</v>
      </c>
      <c r="P22" s="65">
        <f>Table22457891011234567891011121314151617181920[[#This Row],[PEMBULATAN]]*O22</f>
        <v>504000</v>
      </c>
    </row>
    <row r="23" spans="1:16" ht="26.25" customHeight="1" x14ac:dyDescent="0.2">
      <c r="A23" s="14"/>
      <c r="B23" s="14"/>
      <c r="C23" s="73" t="s">
        <v>426</v>
      </c>
      <c r="D23" s="78" t="s">
        <v>60</v>
      </c>
      <c r="E23" s="13">
        <v>44528</v>
      </c>
      <c r="F23" s="76" t="s">
        <v>214</v>
      </c>
      <c r="G23" s="13">
        <v>44535</v>
      </c>
      <c r="H23" s="77" t="s">
        <v>399</v>
      </c>
      <c r="I23" s="16">
        <v>70</v>
      </c>
      <c r="J23" s="16">
        <v>60</v>
      </c>
      <c r="K23" s="16">
        <v>68</v>
      </c>
      <c r="L23" s="16">
        <v>50</v>
      </c>
      <c r="M23" s="81">
        <v>71.400000000000006</v>
      </c>
      <c r="N23" s="96">
        <v>72</v>
      </c>
      <c r="O23" s="64">
        <v>7000</v>
      </c>
      <c r="P23" s="65">
        <f>Table22457891011234567891011121314151617181920[[#This Row],[PEMBULATAN]]*O23</f>
        <v>504000</v>
      </c>
    </row>
    <row r="24" spans="1:16" ht="26.25" customHeight="1" x14ac:dyDescent="0.2">
      <c r="A24" s="14"/>
      <c r="B24" s="14"/>
      <c r="C24" s="73" t="s">
        <v>427</v>
      </c>
      <c r="D24" s="78" t="s">
        <v>60</v>
      </c>
      <c r="E24" s="13">
        <v>44528</v>
      </c>
      <c r="F24" s="76" t="s">
        <v>214</v>
      </c>
      <c r="G24" s="13">
        <v>44535</v>
      </c>
      <c r="H24" s="77" t="s">
        <v>399</v>
      </c>
      <c r="I24" s="16">
        <v>50</v>
      </c>
      <c r="J24" s="16">
        <v>44</v>
      </c>
      <c r="K24" s="16">
        <v>54</v>
      </c>
      <c r="L24" s="16">
        <v>45</v>
      </c>
      <c r="M24" s="81">
        <v>29.7</v>
      </c>
      <c r="N24" s="96">
        <v>45</v>
      </c>
      <c r="O24" s="64">
        <v>7000</v>
      </c>
      <c r="P24" s="65">
        <f>Table22457891011234567891011121314151617181920[[#This Row],[PEMBULATAN]]*O24</f>
        <v>315000</v>
      </c>
    </row>
    <row r="25" spans="1:16" ht="26.25" customHeight="1" x14ac:dyDescent="0.2">
      <c r="A25" s="14"/>
      <c r="B25" s="97"/>
      <c r="C25" s="73" t="s">
        <v>428</v>
      </c>
      <c r="D25" s="78" t="s">
        <v>60</v>
      </c>
      <c r="E25" s="13">
        <v>44528</v>
      </c>
      <c r="F25" s="76" t="s">
        <v>214</v>
      </c>
      <c r="G25" s="13">
        <v>44535</v>
      </c>
      <c r="H25" s="77" t="s">
        <v>399</v>
      </c>
      <c r="I25" s="16">
        <v>50</v>
      </c>
      <c r="J25" s="16">
        <v>44</v>
      </c>
      <c r="K25" s="16">
        <v>54</v>
      </c>
      <c r="L25" s="16">
        <v>45</v>
      </c>
      <c r="M25" s="81">
        <v>29.7</v>
      </c>
      <c r="N25" s="96">
        <v>45</v>
      </c>
      <c r="O25" s="64">
        <v>7000</v>
      </c>
      <c r="P25" s="65">
        <f>Table22457891011234567891011121314151617181920[[#This Row],[PEMBULATAN]]*O25</f>
        <v>315000</v>
      </c>
    </row>
    <row r="26" spans="1:16" ht="26.25" customHeight="1" x14ac:dyDescent="0.2">
      <c r="A26" s="14"/>
      <c r="B26" s="14" t="s">
        <v>429</v>
      </c>
      <c r="C26" s="73" t="s">
        <v>430</v>
      </c>
      <c r="D26" s="78" t="s">
        <v>60</v>
      </c>
      <c r="E26" s="13">
        <v>44528</v>
      </c>
      <c r="F26" s="76" t="s">
        <v>214</v>
      </c>
      <c r="G26" s="13">
        <v>44535</v>
      </c>
      <c r="H26" s="77" t="s">
        <v>399</v>
      </c>
      <c r="I26" s="16">
        <v>70</v>
      </c>
      <c r="J26" s="16">
        <v>30</v>
      </c>
      <c r="K26" s="16">
        <v>14</v>
      </c>
      <c r="L26" s="16">
        <v>14</v>
      </c>
      <c r="M26" s="81">
        <v>7.35</v>
      </c>
      <c r="N26" s="96">
        <v>15</v>
      </c>
      <c r="O26" s="64">
        <v>7000</v>
      </c>
      <c r="P26" s="65">
        <f>Table22457891011234567891011121314151617181920[[#This Row],[PEMBULATAN]]*O26</f>
        <v>105000</v>
      </c>
    </row>
    <row r="27" spans="1:16" ht="26.25" customHeight="1" x14ac:dyDescent="0.2">
      <c r="A27" s="14"/>
      <c r="B27" s="14"/>
      <c r="C27" s="73" t="s">
        <v>431</v>
      </c>
      <c r="D27" s="78" t="s">
        <v>60</v>
      </c>
      <c r="E27" s="13">
        <v>44528</v>
      </c>
      <c r="F27" s="76" t="s">
        <v>214</v>
      </c>
      <c r="G27" s="13">
        <v>44535</v>
      </c>
      <c r="H27" s="77" t="s">
        <v>399</v>
      </c>
      <c r="I27" s="16">
        <v>40</v>
      </c>
      <c r="J27" s="16">
        <v>30</v>
      </c>
      <c r="K27" s="16">
        <v>20</v>
      </c>
      <c r="L27" s="16">
        <v>14</v>
      </c>
      <c r="M27" s="81">
        <v>6</v>
      </c>
      <c r="N27" s="96">
        <v>14</v>
      </c>
      <c r="O27" s="64">
        <v>7000</v>
      </c>
      <c r="P27" s="65">
        <f>Table22457891011234567891011121314151617181920[[#This Row],[PEMBULATAN]]*O27</f>
        <v>98000</v>
      </c>
    </row>
    <row r="28" spans="1:16" ht="26.25" customHeight="1" x14ac:dyDescent="0.2">
      <c r="A28" s="14"/>
      <c r="B28" s="14"/>
      <c r="C28" s="73" t="s">
        <v>432</v>
      </c>
      <c r="D28" s="78" t="s">
        <v>60</v>
      </c>
      <c r="E28" s="13">
        <v>44528</v>
      </c>
      <c r="F28" s="76" t="s">
        <v>214</v>
      </c>
      <c r="G28" s="13">
        <v>44535</v>
      </c>
      <c r="H28" s="77" t="s">
        <v>399</v>
      </c>
      <c r="I28" s="16">
        <v>56</v>
      </c>
      <c r="J28" s="16">
        <v>25</v>
      </c>
      <c r="K28" s="16">
        <v>17</v>
      </c>
      <c r="L28" s="16">
        <v>30</v>
      </c>
      <c r="M28" s="81">
        <v>5.95</v>
      </c>
      <c r="N28" s="96">
        <v>30</v>
      </c>
      <c r="O28" s="64">
        <v>7000</v>
      </c>
      <c r="P28" s="65">
        <f>Table22457891011234567891011121314151617181920[[#This Row],[PEMBULATAN]]*O28</f>
        <v>210000</v>
      </c>
    </row>
    <row r="29" spans="1:16" ht="26.25" customHeight="1" x14ac:dyDescent="0.2">
      <c r="A29" s="14"/>
      <c r="B29" s="14"/>
      <c r="C29" s="73" t="s">
        <v>433</v>
      </c>
      <c r="D29" s="78" t="s">
        <v>60</v>
      </c>
      <c r="E29" s="13">
        <v>44528</v>
      </c>
      <c r="F29" s="76" t="s">
        <v>214</v>
      </c>
      <c r="G29" s="13">
        <v>44535</v>
      </c>
      <c r="H29" s="77" t="s">
        <v>399</v>
      </c>
      <c r="I29" s="16">
        <v>30</v>
      </c>
      <c r="J29" s="16">
        <v>30</v>
      </c>
      <c r="K29" s="16">
        <v>15</v>
      </c>
      <c r="L29" s="16">
        <v>3</v>
      </c>
      <c r="M29" s="81">
        <v>3.375</v>
      </c>
      <c r="N29" s="96">
        <v>4</v>
      </c>
      <c r="O29" s="64">
        <v>7000</v>
      </c>
      <c r="P29" s="65">
        <f>Table22457891011234567891011121314151617181920[[#This Row],[PEMBULATAN]]*O29</f>
        <v>28000</v>
      </c>
    </row>
    <row r="30" spans="1:16" ht="26.25" customHeight="1" x14ac:dyDescent="0.2">
      <c r="A30" s="14"/>
      <c r="B30" s="14"/>
      <c r="C30" s="73" t="s">
        <v>434</v>
      </c>
      <c r="D30" s="78" t="s">
        <v>60</v>
      </c>
      <c r="E30" s="13">
        <v>44528</v>
      </c>
      <c r="F30" s="76" t="s">
        <v>214</v>
      </c>
      <c r="G30" s="13">
        <v>44535</v>
      </c>
      <c r="H30" s="77" t="s">
        <v>399</v>
      </c>
      <c r="I30" s="16">
        <v>40</v>
      </c>
      <c r="J30" s="16">
        <v>30</v>
      </c>
      <c r="K30" s="16">
        <v>17</v>
      </c>
      <c r="L30" s="16">
        <v>1</v>
      </c>
      <c r="M30" s="81">
        <v>5.0999999999999996</v>
      </c>
      <c r="N30" s="96">
        <v>5.0999999999999996</v>
      </c>
      <c r="O30" s="64">
        <v>7000</v>
      </c>
      <c r="P30" s="65">
        <f>Table22457891011234567891011121314151617181920[[#This Row],[PEMBULATAN]]*O30</f>
        <v>35700</v>
      </c>
    </row>
    <row r="31" spans="1:16" ht="22.5" customHeight="1" x14ac:dyDescent="0.2">
      <c r="A31" s="117" t="s">
        <v>30</v>
      </c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9"/>
      <c r="M31" s="79">
        <f>SUBTOTAL(109,Table22457891011234567891011121314151617181920[KG VOLUME])</f>
        <v>563.18225000000007</v>
      </c>
      <c r="N31" s="68">
        <f>SUM(N3:N30)</f>
        <v>644.18025</v>
      </c>
      <c r="O31" s="120">
        <f>SUM(P3:P30)</f>
        <v>4509261.75</v>
      </c>
      <c r="P31" s="121"/>
    </row>
    <row r="32" spans="1:16" ht="18" customHeight="1" x14ac:dyDescent="0.2">
      <c r="A32" s="86"/>
      <c r="B32" s="56" t="s">
        <v>42</v>
      </c>
      <c r="C32" s="55"/>
      <c r="D32" s="57" t="s">
        <v>43</v>
      </c>
      <c r="E32" s="86"/>
      <c r="F32" s="86"/>
      <c r="G32" s="86"/>
      <c r="H32" s="86"/>
      <c r="I32" s="86"/>
      <c r="J32" s="86"/>
      <c r="K32" s="86"/>
      <c r="L32" s="86"/>
      <c r="M32" s="87"/>
      <c r="N32" s="88" t="s">
        <v>52</v>
      </c>
      <c r="O32" s="89"/>
      <c r="P32" s="89">
        <v>0</v>
      </c>
    </row>
    <row r="33" spans="1:16" ht="18" customHeight="1" thickBot="1" x14ac:dyDescent="0.25">
      <c r="A33" s="86"/>
      <c r="B33" s="56"/>
      <c r="C33" s="55"/>
      <c r="D33" s="57"/>
      <c r="E33" s="86"/>
      <c r="F33" s="86"/>
      <c r="G33" s="86"/>
      <c r="H33" s="86"/>
      <c r="I33" s="86"/>
      <c r="J33" s="86"/>
      <c r="K33" s="86"/>
      <c r="L33" s="86"/>
      <c r="M33" s="87"/>
      <c r="N33" s="90" t="s">
        <v>53</v>
      </c>
      <c r="O33" s="91"/>
      <c r="P33" s="91">
        <f>O31-P32</f>
        <v>4509261.75</v>
      </c>
    </row>
    <row r="34" spans="1:16" ht="18" customHeight="1" x14ac:dyDescent="0.2">
      <c r="A34" s="11"/>
      <c r="H34" s="63"/>
      <c r="N34" s="62" t="s">
        <v>31</v>
      </c>
      <c r="P34" s="69">
        <f>P33*1%</f>
        <v>45092.6175</v>
      </c>
    </row>
    <row r="35" spans="1:16" ht="18" customHeight="1" thickBot="1" x14ac:dyDescent="0.25">
      <c r="A35" s="11"/>
      <c r="H35" s="63"/>
      <c r="N35" s="62" t="s">
        <v>54</v>
      </c>
      <c r="P35" s="71">
        <f>P33*2%</f>
        <v>90185.235000000001</v>
      </c>
    </row>
    <row r="36" spans="1:16" ht="18" customHeight="1" x14ac:dyDescent="0.2">
      <c r="A36" s="11"/>
      <c r="H36" s="63"/>
      <c r="N36" s="66" t="s">
        <v>32</v>
      </c>
      <c r="O36" s="67"/>
      <c r="P36" s="70">
        <f>P33+P34-P35</f>
        <v>4464169.1324999994</v>
      </c>
    </row>
    <row r="38" spans="1:16" x14ac:dyDescent="0.2">
      <c r="A38" s="11"/>
      <c r="H38" s="63"/>
      <c r="P38" s="71"/>
    </row>
    <row r="39" spans="1:16" x14ac:dyDescent="0.2">
      <c r="A39" s="11"/>
      <c r="H39" s="63"/>
      <c r="O39" s="58"/>
      <c r="P39" s="71"/>
    </row>
    <row r="40" spans="1:16" s="3" customFormat="1" x14ac:dyDescent="0.25">
      <c r="A40" s="11"/>
      <c r="B40" s="2"/>
      <c r="C40" s="2"/>
      <c r="E40" s="12"/>
      <c r="H40" s="63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3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3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3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3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3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3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3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3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3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3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3"/>
      <c r="N51" s="15"/>
      <c r="O51" s="15"/>
      <c r="P51" s="15"/>
    </row>
  </sheetData>
  <mergeCells count="2">
    <mergeCell ref="A31:L31"/>
    <mergeCell ref="O31:P31"/>
  </mergeCells>
  <conditionalFormatting sqref="B3">
    <cfRule type="duplicateValues" dxfId="106" priority="2"/>
  </conditionalFormatting>
  <conditionalFormatting sqref="B4">
    <cfRule type="duplicateValues" dxfId="105" priority="1"/>
  </conditionalFormatting>
  <conditionalFormatting sqref="B5:B30">
    <cfRule type="duplicateValues" dxfId="104" priority="1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4"/>
  <sheetViews>
    <sheetView zoomScale="110" zoomScaleNormal="110" workbookViewId="0">
      <pane xSplit="3" ySplit="2" topLeftCell="D6" activePane="bottomRight" state="frozen"/>
      <selection pane="topRight" activeCell="B1" sqref="B1"/>
      <selection pane="bottomLeft" activeCell="A3" sqref="A3"/>
      <selection pane="bottomRight" activeCell="O15" sqref="O1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403727</v>
      </c>
      <c r="B3" s="74" t="s">
        <v>435</v>
      </c>
      <c r="C3" s="9" t="s">
        <v>436</v>
      </c>
      <c r="D3" s="76" t="s">
        <v>60</v>
      </c>
      <c r="E3" s="13">
        <v>44528</v>
      </c>
      <c r="F3" s="76" t="s">
        <v>214</v>
      </c>
      <c r="G3" s="13">
        <v>44535</v>
      </c>
      <c r="H3" s="10" t="s">
        <v>399</v>
      </c>
      <c r="I3" s="1">
        <v>47</v>
      </c>
      <c r="J3" s="1">
        <v>30</v>
      </c>
      <c r="K3" s="1">
        <v>12</v>
      </c>
      <c r="L3" s="1">
        <v>11</v>
      </c>
      <c r="M3" s="80">
        <v>4.2300000000000004</v>
      </c>
      <c r="N3" s="8">
        <v>11</v>
      </c>
      <c r="O3" s="64">
        <v>7000</v>
      </c>
      <c r="P3" s="65">
        <f>Table2245789101123456789101112131415161718192021[[#This Row],[PEMBULATAN]]*O3</f>
        <v>77000</v>
      </c>
    </row>
    <row r="4" spans="1:16" ht="26.25" customHeight="1" x14ac:dyDescent="0.2">
      <c r="A4" s="14"/>
      <c r="B4" s="75"/>
      <c r="C4" s="9" t="s">
        <v>437</v>
      </c>
      <c r="D4" s="76" t="s">
        <v>60</v>
      </c>
      <c r="E4" s="13">
        <v>44528</v>
      </c>
      <c r="F4" s="76" t="s">
        <v>214</v>
      </c>
      <c r="G4" s="13">
        <v>44535</v>
      </c>
      <c r="H4" s="10" t="s">
        <v>399</v>
      </c>
      <c r="I4" s="1">
        <v>60</v>
      </c>
      <c r="J4" s="1">
        <v>44</v>
      </c>
      <c r="K4" s="1">
        <v>10</v>
      </c>
      <c r="L4" s="1">
        <v>10</v>
      </c>
      <c r="M4" s="80">
        <v>6.6</v>
      </c>
      <c r="N4" s="8">
        <v>10</v>
      </c>
      <c r="O4" s="64">
        <v>7000</v>
      </c>
      <c r="P4" s="65">
        <f>Table2245789101123456789101112131415161718192021[[#This Row],[PEMBULATAN]]*O4</f>
        <v>70000</v>
      </c>
    </row>
    <row r="5" spans="1:16" ht="26.25" customHeight="1" x14ac:dyDescent="0.2">
      <c r="A5" s="14"/>
      <c r="B5" s="14"/>
      <c r="C5" s="9" t="s">
        <v>438</v>
      </c>
      <c r="D5" s="76" t="s">
        <v>60</v>
      </c>
      <c r="E5" s="13">
        <v>44528</v>
      </c>
      <c r="F5" s="76" t="s">
        <v>214</v>
      </c>
      <c r="G5" s="13">
        <v>44535</v>
      </c>
      <c r="H5" s="10" t="s">
        <v>399</v>
      </c>
      <c r="I5" s="1">
        <v>60</v>
      </c>
      <c r="J5" s="1">
        <v>44</v>
      </c>
      <c r="K5" s="1">
        <v>10</v>
      </c>
      <c r="L5" s="1">
        <v>10</v>
      </c>
      <c r="M5" s="80">
        <v>6.6</v>
      </c>
      <c r="N5" s="8">
        <v>10</v>
      </c>
      <c r="O5" s="64">
        <v>7000</v>
      </c>
      <c r="P5" s="65">
        <f>Table2245789101123456789101112131415161718192021[[#This Row],[PEMBULATAN]]*O5</f>
        <v>70000</v>
      </c>
    </row>
    <row r="6" spans="1:16" ht="26.25" customHeight="1" x14ac:dyDescent="0.2">
      <c r="A6" s="14"/>
      <c r="B6" s="14"/>
      <c r="C6" s="73" t="s">
        <v>439</v>
      </c>
      <c r="D6" s="78" t="s">
        <v>60</v>
      </c>
      <c r="E6" s="13">
        <v>44528</v>
      </c>
      <c r="F6" s="76" t="s">
        <v>214</v>
      </c>
      <c r="G6" s="13">
        <v>44535</v>
      </c>
      <c r="H6" s="77" t="s">
        <v>399</v>
      </c>
      <c r="I6" s="16">
        <v>60</v>
      </c>
      <c r="J6" s="16">
        <v>44</v>
      </c>
      <c r="K6" s="16">
        <v>10</v>
      </c>
      <c r="L6" s="16">
        <v>10</v>
      </c>
      <c r="M6" s="81">
        <v>6.6</v>
      </c>
      <c r="N6" s="72">
        <v>10</v>
      </c>
      <c r="O6" s="64">
        <v>7000</v>
      </c>
      <c r="P6" s="65">
        <f>Table2245789101123456789101112131415161718192021[[#This Row],[PEMBULATAN]]*O6</f>
        <v>70000</v>
      </c>
    </row>
    <row r="7" spans="1:16" ht="26.25" customHeight="1" x14ac:dyDescent="0.2">
      <c r="A7" s="14"/>
      <c r="B7" s="14"/>
      <c r="C7" s="73" t="s">
        <v>440</v>
      </c>
      <c r="D7" s="78" t="s">
        <v>60</v>
      </c>
      <c r="E7" s="13">
        <v>44528</v>
      </c>
      <c r="F7" s="76" t="s">
        <v>214</v>
      </c>
      <c r="G7" s="13">
        <v>44535</v>
      </c>
      <c r="H7" s="77" t="s">
        <v>399</v>
      </c>
      <c r="I7" s="16">
        <v>60</v>
      </c>
      <c r="J7" s="16">
        <v>44</v>
      </c>
      <c r="K7" s="16">
        <v>10</v>
      </c>
      <c r="L7" s="16">
        <v>10</v>
      </c>
      <c r="M7" s="81">
        <v>6.6</v>
      </c>
      <c r="N7" s="72">
        <v>10</v>
      </c>
      <c r="O7" s="64">
        <v>7000</v>
      </c>
      <c r="P7" s="65">
        <f>Table2245789101123456789101112131415161718192021[[#This Row],[PEMBULATAN]]*O7</f>
        <v>70000</v>
      </c>
    </row>
    <row r="8" spans="1:16" ht="26.25" customHeight="1" x14ac:dyDescent="0.2">
      <c r="A8" s="14"/>
      <c r="B8" s="14"/>
      <c r="C8" s="73" t="s">
        <v>441</v>
      </c>
      <c r="D8" s="78" t="s">
        <v>60</v>
      </c>
      <c r="E8" s="13">
        <v>44528</v>
      </c>
      <c r="F8" s="76" t="s">
        <v>214</v>
      </c>
      <c r="G8" s="13">
        <v>44535</v>
      </c>
      <c r="H8" s="77" t="s">
        <v>399</v>
      </c>
      <c r="I8" s="16">
        <v>40</v>
      </c>
      <c r="J8" s="16">
        <v>28</v>
      </c>
      <c r="K8" s="16">
        <v>20</v>
      </c>
      <c r="L8" s="16">
        <v>10</v>
      </c>
      <c r="M8" s="81">
        <v>5.6</v>
      </c>
      <c r="N8" s="72">
        <v>10</v>
      </c>
      <c r="O8" s="64">
        <v>7000</v>
      </c>
      <c r="P8" s="65">
        <f>Table2245789101123456789101112131415161718192021[[#This Row],[PEMBULATAN]]*O8</f>
        <v>70000</v>
      </c>
    </row>
    <row r="9" spans="1:16" ht="26.25" customHeight="1" x14ac:dyDescent="0.2">
      <c r="A9" s="14"/>
      <c r="B9" s="14"/>
      <c r="C9" s="73" t="s">
        <v>442</v>
      </c>
      <c r="D9" s="78" t="s">
        <v>60</v>
      </c>
      <c r="E9" s="13">
        <v>44528</v>
      </c>
      <c r="F9" s="76" t="s">
        <v>214</v>
      </c>
      <c r="G9" s="13">
        <v>44535</v>
      </c>
      <c r="H9" s="77" t="s">
        <v>399</v>
      </c>
      <c r="I9" s="16">
        <v>40</v>
      </c>
      <c r="J9" s="16">
        <v>28</v>
      </c>
      <c r="K9" s="16">
        <v>20</v>
      </c>
      <c r="L9" s="16">
        <v>10</v>
      </c>
      <c r="M9" s="81">
        <v>5.6</v>
      </c>
      <c r="N9" s="72">
        <v>10</v>
      </c>
      <c r="O9" s="64">
        <v>7000</v>
      </c>
      <c r="P9" s="65">
        <f>Table2245789101123456789101112131415161718192021[[#This Row],[PEMBULATAN]]*O9</f>
        <v>70000</v>
      </c>
    </row>
    <row r="10" spans="1:16" ht="26.25" customHeight="1" x14ac:dyDescent="0.2">
      <c r="A10" s="14"/>
      <c r="B10" s="14"/>
      <c r="C10" s="73" t="s">
        <v>443</v>
      </c>
      <c r="D10" s="78" t="s">
        <v>60</v>
      </c>
      <c r="E10" s="13">
        <v>44528</v>
      </c>
      <c r="F10" s="76" t="s">
        <v>214</v>
      </c>
      <c r="G10" s="13">
        <v>44535</v>
      </c>
      <c r="H10" s="77" t="s">
        <v>399</v>
      </c>
      <c r="I10" s="16">
        <v>40</v>
      </c>
      <c r="J10" s="16">
        <v>28</v>
      </c>
      <c r="K10" s="16">
        <v>20</v>
      </c>
      <c r="L10" s="16">
        <v>10</v>
      </c>
      <c r="M10" s="81">
        <v>5.6</v>
      </c>
      <c r="N10" s="72">
        <v>10</v>
      </c>
      <c r="O10" s="64">
        <v>7000</v>
      </c>
      <c r="P10" s="65">
        <f>Table2245789101123456789101112131415161718192021[[#This Row],[PEMBULATAN]]*O10</f>
        <v>70000</v>
      </c>
    </row>
    <row r="11" spans="1:16" ht="26.25" customHeight="1" x14ac:dyDescent="0.2">
      <c r="A11" s="14"/>
      <c r="B11" s="14"/>
      <c r="C11" s="73" t="s">
        <v>444</v>
      </c>
      <c r="D11" s="78" t="s">
        <v>60</v>
      </c>
      <c r="E11" s="13">
        <v>44528</v>
      </c>
      <c r="F11" s="76" t="s">
        <v>214</v>
      </c>
      <c r="G11" s="13">
        <v>44535</v>
      </c>
      <c r="H11" s="77" t="s">
        <v>399</v>
      </c>
      <c r="I11" s="16">
        <v>40</v>
      </c>
      <c r="J11" s="16">
        <v>28</v>
      </c>
      <c r="K11" s="16">
        <v>20</v>
      </c>
      <c r="L11" s="16">
        <v>10</v>
      </c>
      <c r="M11" s="81">
        <v>5.6</v>
      </c>
      <c r="N11" s="72">
        <v>10</v>
      </c>
      <c r="O11" s="64">
        <v>7000</v>
      </c>
      <c r="P11" s="65">
        <f>Table2245789101123456789101112131415161718192021[[#This Row],[PEMBULATAN]]*O11</f>
        <v>70000</v>
      </c>
    </row>
    <row r="12" spans="1:16" ht="26.25" customHeight="1" x14ac:dyDescent="0.2">
      <c r="A12" s="14"/>
      <c r="B12" s="14"/>
      <c r="C12" s="73" t="s">
        <v>445</v>
      </c>
      <c r="D12" s="78" t="s">
        <v>60</v>
      </c>
      <c r="E12" s="13">
        <v>44528</v>
      </c>
      <c r="F12" s="76" t="s">
        <v>214</v>
      </c>
      <c r="G12" s="13">
        <v>44535</v>
      </c>
      <c r="H12" s="77" t="s">
        <v>399</v>
      </c>
      <c r="I12" s="16">
        <v>46</v>
      </c>
      <c r="J12" s="16">
        <v>34</v>
      </c>
      <c r="K12" s="16">
        <v>10</v>
      </c>
      <c r="L12" s="16">
        <v>9</v>
      </c>
      <c r="M12" s="81">
        <v>3.91</v>
      </c>
      <c r="N12" s="72">
        <v>9</v>
      </c>
      <c r="O12" s="64">
        <v>7000</v>
      </c>
      <c r="P12" s="65">
        <f>Table2245789101123456789101112131415161718192021[[#This Row],[PEMBULATAN]]*O12</f>
        <v>63000</v>
      </c>
    </row>
    <row r="13" spans="1:16" ht="26.25" customHeight="1" x14ac:dyDescent="0.2">
      <c r="A13" s="14"/>
      <c r="B13" s="14"/>
      <c r="C13" s="73" t="s">
        <v>446</v>
      </c>
      <c r="D13" s="78" t="s">
        <v>60</v>
      </c>
      <c r="E13" s="13">
        <v>44528</v>
      </c>
      <c r="F13" s="76" t="s">
        <v>214</v>
      </c>
      <c r="G13" s="13">
        <v>44535</v>
      </c>
      <c r="H13" s="77" t="s">
        <v>399</v>
      </c>
      <c r="I13" s="16">
        <v>45</v>
      </c>
      <c r="J13" s="16">
        <v>25</v>
      </c>
      <c r="K13" s="16">
        <v>11</v>
      </c>
      <c r="L13" s="16">
        <v>4</v>
      </c>
      <c r="M13" s="81">
        <v>3.09375</v>
      </c>
      <c r="N13" s="72">
        <v>4</v>
      </c>
      <c r="O13" s="64">
        <v>7000</v>
      </c>
      <c r="P13" s="65">
        <f>Table2245789101123456789101112131415161718192021[[#This Row],[PEMBULATAN]]*O13</f>
        <v>28000</v>
      </c>
    </row>
    <row r="14" spans="1:16" ht="22.5" customHeight="1" x14ac:dyDescent="0.2">
      <c r="A14" s="117" t="s">
        <v>30</v>
      </c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9"/>
      <c r="M14" s="79">
        <f>SUBTOTAL(109,Table2245789101123456789101112131415161718192021[KG VOLUME])</f>
        <v>60.033750000000012</v>
      </c>
      <c r="N14" s="68">
        <f>SUM(N3:N13)</f>
        <v>104</v>
      </c>
      <c r="O14" s="120">
        <f>SUM(P3:P13)</f>
        <v>728000</v>
      </c>
      <c r="P14" s="121"/>
    </row>
    <row r="15" spans="1:16" ht="18" customHeight="1" x14ac:dyDescent="0.2">
      <c r="A15" s="86"/>
      <c r="B15" s="56" t="s">
        <v>42</v>
      </c>
      <c r="C15" s="55"/>
      <c r="D15" s="57" t="s">
        <v>43</v>
      </c>
      <c r="E15" s="86"/>
      <c r="F15" s="86"/>
      <c r="G15" s="86"/>
      <c r="H15" s="86"/>
      <c r="I15" s="86"/>
      <c r="J15" s="86"/>
      <c r="K15" s="86"/>
      <c r="L15" s="86"/>
      <c r="M15" s="87"/>
      <c r="N15" s="88" t="s">
        <v>52</v>
      </c>
      <c r="O15" s="89"/>
      <c r="P15" s="89">
        <v>0</v>
      </c>
    </row>
    <row r="16" spans="1:16" ht="18" customHeight="1" thickBot="1" x14ac:dyDescent="0.25">
      <c r="A16" s="86"/>
      <c r="B16" s="56"/>
      <c r="C16" s="55"/>
      <c r="D16" s="57"/>
      <c r="E16" s="86"/>
      <c r="F16" s="86"/>
      <c r="G16" s="86"/>
      <c r="H16" s="86"/>
      <c r="I16" s="86"/>
      <c r="J16" s="86"/>
      <c r="K16" s="86"/>
      <c r="L16" s="86"/>
      <c r="M16" s="87"/>
      <c r="N16" s="90" t="s">
        <v>53</v>
      </c>
      <c r="O16" s="91"/>
      <c r="P16" s="91">
        <f>O14-P15</f>
        <v>728000</v>
      </c>
    </row>
    <row r="17" spans="1:16" ht="18" customHeight="1" x14ac:dyDescent="0.2">
      <c r="A17" s="11"/>
      <c r="H17" s="63"/>
      <c r="N17" s="62" t="s">
        <v>31</v>
      </c>
      <c r="P17" s="69">
        <f>P16*1%</f>
        <v>7280</v>
      </c>
    </row>
    <row r="18" spans="1:16" ht="18" customHeight="1" thickBot="1" x14ac:dyDescent="0.25">
      <c r="A18" s="11"/>
      <c r="H18" s="63"/>
      <c r="N18" s="62" t="s">
        <v>54</v>
      </c>
      <c r="P18" s="71">
        <f>P16*2%</f>
        <v>14560</v>
      </c>
    </row>
    <row r="19" spans="1:16" ht="18" customHeight="1" x14ac:dyDescent="0.2">
      <c r="A19" s="11"/>
      <c r="H19" s="63"/>
      <c r="N19" s="66" t="s">
        <v>32</v>
      </c>
      <c r="O19" s="67"/>
      <c r="P19" s="70">
        <f>P16+P17-P18</f>
        <v>720720</v>
      </c>
    </row>
    <row r="21" spans="1:16" x14ac:dyDescent="0.2">
      <c r="A21" s="11"/>
      <c r="H21" s="63"/>
      <c r="P21" s="71"/>
    </row>
    <row r="22" spans="1:16" x14ac:dyDescent="0.2">
      <c r="A22" s="11"/>
      <c r="H22" s="63"/>
      <c r="O22" s="58"/>
      <c r="P22" s="71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3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3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3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3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3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3"/>
      <c r="N34" s="15"/>
      <c r="O34" s="15"/>
      <c r="P34" s="15"/>
    </row>
  </sheetData>
  <mergeCells count="2">
    <mergeCell ref="A14:L14"/>
    <mergeCell ref="O14:P14"/>
  </mergeCells>
  <conditionalFormatting sqref="B3">
    <cfRule type="duplicateValues" dxfId="88" priority="2"/>
  </conditionalFormatting>
  <conditionalFormatting sqref="B4">
    <cfRule type="duplicateValues" dxfId="87" priority="1"/>
  </conditionalFormatting>
  <conditionalFormatting sqref="B5:B13">
    <cfRule type="duplicateValues" dxfId="86" priority="1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M11" sqref="M1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406158</v>
      </c>
      <c r="B3" s="74" t="s">
        <v>447</v>
      </c>
      <c r="C3" s="9" t="s">
        <v>448</v>
      </c>
      <c r="D3" s="76" t="s">
        <v>60</v>
      </c>
      <c r="E3" s="13">
        <v>44529</v>
      </c>
      <c r="F3" s="76" t="s">
        <v>214</v>
      </c>
      <c r="G3" s="13">
        <v>44535</v>
      </c>
      <c r="H3" s="10" t="s">
        <v>399</v>
      </c>
      <c r="I3" s="1">
        <v>98</v>
      </c>
      <c r="J3" s="1">
        <v>21</v>
      </c>
      <c r="K3" s="1">
        <v>15</v>
      </c>
      <c r="L3" s="1">
        <v>3</v>
      </c>
      <c r="M3" s="80">
        <v>7.7175000000000002</v>
      </c>
      <c r="N3" s="96">
        <v>7.7175000000000002</v>
      </c>
      <c r="O3" s="64">
        <v>7000</v>
      </c>
      <c r="P3" s="65">
        <f>Table224578910112345678910111213141516171819202122[[#This Row],[PEMBULATAN]]*O3</f>
        <v>54022.5</v>
      </c>
    </row>
    <row r="4" spans="1:16" ht="26.25" customHeight="1" x14ac:dyDescent="0.2">
      <c r="A4" s="14"/>
      <c r="B4" s="75"/>
      <c r="C4" s="9" t="s">
        <v>449</v>
      </c>
      <c r="D4" s="76" t="s">
        <v>60</v>
      </c>
      <c r="E4" s="13">
        <v>44529</v>
      </c>
      <c r="F4" s="76" t="s">
        <v>214</v>
      </c>
      <c r="G4" s="13">
        <v>44535</v>
      </c>
      <c r="H4" s="10" t="s">
        <v>399</v>
      </c>
      <c r="I4" s="1">
        <v>123</v>
      </c>
      <c r="J4" s="1">
        <v>3</v>
      </c>
      <c r="K4" s="1">
        <v>23</v>
      </c>
      <c r="L4" s="1">
        <v>8</v>
      </c>
      <c r="M4" s="80">
        <v>2.12175</v>
      </c>
      <c r="N4" s="8">
        <v>8</v>
      </c>
      <c r="O4" s="64">
        <v>7000</v>
      </c>
      <c r="P4" s="65">
        <f>Table224578910112345678910111213141516171819202122[[#This Row],[PEMBULATAN]]*O4</f>
        <v>56000</v>
      </c>
    </row>
    <row r="5" spans="1:16" ht="22.5" customHeight="1" x14ac:dyDescent="0.2">
      <c r="A5" s="117" t="s">
        <v>30</v>
      </c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9"/>
      <c r="M5" s="79">
        <f>SUBTOTAL(109,Table224578910112345678910111213141516171819202122[KG VOLUME])</f>
        <v>9.8392499999999998</v>
      </c>
      <c r="N5" s="68">
        <f>SUM(N3:N4)</f>
        <v>15.717500000000001</v>
      </c>
      <c r="O5" s="120">
        <f>SUM(P3:P4)</f>
        <v>110022.5</v>
      </c>
      <c r="P5" s="121"/>
    </row>
    <row r="6" spans="1:16" ht="18" customHeight="1" x14ac:dyDescent="0.2">
      <c r="A6" s="86"/>
      <c r="B6" s="56" t="s">
        <v>42</v>
      </c>
      <c r="C6" s="55"/>
      <c r="D6" s="57" t="s">
        <v>43</v>
      </c>
      <c r="E6" s="86"/>
      <c r="F6" s="86"/>
      <c r="G6" s="86"/>
      <c r="H6" s="86"/>
      <c r="I6" s="86"/>
      <c r="J6" s="86"/>
      <c r="K6" s="86"/>
      <c r="L6" s="86"/>
      <c r="M6" s="87"/>
      <c r="N6" s="88" t="s">
        <v>52</v>
      </c>
      <c r="O6" s="89"/>
      <c r="P6" s="89">
        <v>0</v>
      </c>
    </row>
    <row r="7" spans="1:16" ht="18" customHeight="1" thickBot="1" x14ac:dyDescent="0.25">
      <c r="A7" s="86"/>
      <c r="B7" s="56"/>
      <c r="C7" s="55"/>
      <c r="D7" s="57"/>
      <c r="E7" s="86"/>
      <c r="F7" s="86"/>
      <c r="G7" s="86"/>
      <c r="H7" s="86"/>
      <c r="I7" s="86"/>
      <c r="J7" s="86"/>
      <c r="K7" s="86"/>
      <c r="L7" s="86"/>
      <c r="M7" s="87"/>
      <c r="N7" s="90" t="s">
        <v>53</v>
      </c>
      <c r="O7" s="91"/>
      <c r="P7" s="91">
        <f>O5-P6</f>
        <v>110022.5</v>
      </c>
    </row>
    <row r="8" spans="1:16" ht="18" customHeight="1" x14ac:dyDescent="0.2">
      <c r="A8" s="11"/>
      <c r="H8" s="63"/>
      <c r="N8" s="62" t="s">
        <v>31</v>
      </c>
      <c r="P8" s="69">
        <f>P7*1%</f>
        <v>1100.2250000000001</v>
      </c>
    </row>
    <row r="9" spans="1:16" ht="18" customHeight="1" thickBot="1" x14ac:dyDescent="0.25">
      <c r="A9" s="11"/>
      <c r="H9" s="63"/>
      <c r="N9" s="62" t="s">
        <v>54</v>
      </c>
      <c r="P9" s="71">
        <f>P7*2%</f>
        <v>2200.4500000000003</v>
      </c>
    </row>
    <row r="10" spans="1:16" ht="18" customHeight="1" x14ac:dyDescent="0.2">
      <c r="A10" s="11"/>
      <c r="H10" s="63"/>
      <c r="N10" s="66" t="s">
        <v>32</v>
      </c>
      <c r="O10" s="67"/>
      <c r="P10" s="70">
        <f>P7+P8-P9</f>
        <v>108922.27500000001</v>
      </c>
    </row>
    <row r="12" spans="1:16" x14ac:dyDescent="0.2">
      <c r="A12" s="11"/>
      <c r="H12" s="63"/>
      <c r="P12" s="71"/>
    </row>
    <row r="13" spans="1:16" x14ac:dyDescent="0.2">
      <c r="A13" s="11"/>
      <c r="H13" s="63"/>
      <c r="O13" s="58"/>
      <c r="P13" s="71"/>
    </row>
    <row r="14" spans="1:16" s="3" customFormat="1" x14ac:dyDescent="0.25">
      <c r="A14" s="11"/>
      <c r="B14" s="2"/>
      <c r="C14" s="2"/>
      <c r="E14" s="12"/>
      <c r="H14" s="63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3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</sheetData>
  <mergeCells count="2">
    <mergeCell ref="A5:L5"/>
    <mergeCell ref="O5:P5"/>
  </mergeCells>
  <conditionalFormatting sqref="B3">
    <cfRule type="duplicateValues" dxfId="70" priority="2"/>
  </conditionalFormatting>
  <conditionalFormatting sqref="B4">
    <cfRule type="duplicateValues" dxfId="69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6"/>
  <sheetViews>
    <sheetView zoomScale="110" zoomScaleNormal="110" workbookViewId="0">
      <pane xSplit="3" ySplit="2" topLeftCell="D8" activePane="bottomRight" state="frozen"/>
      <selection pane="topRight" activeCell="B1" sqref="B1"/>
      <selection pane="bottomLeft" activeCell="A3" sqref="A3"/>
      <selection pane="bottomRight" activeCell="O17" sqref="O1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403735</v>
      </c>
      <c r="B3" s="74" t="s">
        <v>450</v>
      </c>
      <c r="C3" s="9" t="s">
        <v>451</v>
      </c>
      <c r="D3" s="76" t="s">
        <v>60</v>
      </c>
      <c r="E3" s="13">
        <v>44529</v>
      </c>
      <c r="F3" s="76" t="s">
        <v>214</v>
      </c>
      <c r="G3" s="13">
        <v>44535</v>
      </c>
      <c r="H3" s="10" t="s">
        <v>399</v>
      </c>
      <c r="I3" s="1">
        <v>57</v>
      </c>
      <c r="J3" s="1">
        <v>57</v>
      </c>
      <c r="K3" s="1">
        <v>40</v>
      </c>
      <c r="L3" s="1">
        <v>12</v>
      </c>
      <c r="M3" s="80">
        <v>32.49</v>
      </c>
      <c r="N3" s="8">
        <v>33</v>
      </c>
      <c r="O3" s="64">
        <v>7000</v>
      </c>
      <c r="P3" s="65">
        <f>Table22457891011234567891011121314151617181920212223[[#This Row],[PEMBULATAN]]*O3</f>
        <v>231000</v>
      </c>
    </row>
    <row r="4" spans="1:16" ht="26.25" customHeight="1" x14ac:dyDescent="0.2">
      <c r="A4" s="14"/>
      <c r="B4" s="75"/>
      <c r="C4" s="9" t="s">
        <v>452</v>
      </c>
      <c r="D4" s="76" t="s">
        <v>60</v>
      </c>
      <c r="E4" s="13">
        <v>44529</v>
      </c>
      <c r="F4" s="76" t="s">
        <v>214</v>
      </c>
      <c r="G4" s="13">
        <v>44535</v>
      </c>
      <c r="H4" s="10" t="s">
        <v>399</v>
      </c>
      <c r="I4" s="1">
        <v>72</v>
      </c>
      <c r="J4" s="1">
        <v>22</v>
      </c>
      <c r="K4" s="1">
        <v>46</v>
      </c>
      <c r="L4" s="1">
        <v>11</v>
      </c>
      <c r="M4" s="80">
        <v>18.216000000000001</v>
      </c>
      <c r="N4" s="96">
        <v>18.216000000000001</v>
      </c>
      <c r="O4" s="64">
        <v>7000</v>
      </c>
      <c r="P4" s="65">
        <f>Table22457891011234567891011121314151617181920212223[[#This Row],[PEMBULATAN]]*O4</f>
        <v>127512.00000000001</v>
      </c>
    </row>
    <row r="5" spans="1:16" ht="26.25" customHeight="1" x14ac:dyDescent="0.2">
      <c r="A5" s="14"/>
      <c r="B5" s="14"/>
      <c r="C5" s="9" t="s">
        <v>453</v>
      </c>
      <c r="D5" s="76" t="s">
        <v>60</v>
      </c>
      <c r="E5" s="13">
        <v>44529</v>
      </c>
      <c r="F5" s="76" t="s">
        <v>214</v>
      </c>
      <c r="G5" s="13">
        <v>44535</v>
      </c>
      <c r="H5" s="10" t="s">
        <v>399</v>
      </c>
      <c r="I5" s="1">
        <v>56</v>
      </c>
      <c r="J5" s="1">
        <v>48</v>
      </c>
      <c r="K5" s="1">
        <v>62</v>
      </c>
      <c r="L5" s="1">
        <v>24</v>
      </c>
      <c r="M5" s="80">
        <v>41.664000000000001</v>
      </c>
      <c r="N5" s="96">
        <v>41.664000000000001</v>
      </c>
      <c r="O5" s="64">
        <v>7000</v>
      </c>
      <c r="P5" s="65">
        <f>Table22457891011234567891011121314151617181920212223[[#This Row],[PEMBULATAN]]*O5</f>
        <v>291648</v>
      </c>
    </row>
    <row r="6" spans="1:16" ht="26.25" customHeight="1" x14ac:dyDescent="0.2">
      <c r="A6" s="14"/>
      <c r="B6" s="14"/>
      <c r="C6" s="73" t="s">
        <v>454</v>
      </c>
      <c r="D6" s="78" t="s">
        <v>60</v>
      </c>
      <c r="E6" s="13">
        <v>44529</v>
      </c>
      <c r="F6" s="76" t="s">
        <v>214</v>
      </c>
      <c r="G6" s="13">
        <v>44535</v>
      </c>
      <c r="H6" s="77" t="s">
        <v>399</v>
      </c>
      <c r="I6" s="16">
        <v>36</v>
      </c>
      <c r="J6" s="16">
        <v>32</v>
      </c>
      <c r="K6" s="16">
        <v>17</v>
      </c>
      <c r="L6" s="16">
        <v>11</v>
      </c>
      <c r="M6" s="81">
        <v>4.8959999999999999</v>
      </c>
      <c r="N6" s="96">
        <v>11</v>
      </c>
      <c r="O6" s="64">
        <v>7000</v>
      </c>
      <c r="P6" s="65">
        <f>Table22457891011234567891011121314151617181920212223[[#This Row],[PEMBULATAN]]*O6</f>
        <v>77000</v>
      </c>
    </row>
    <row r="7" spans="1:16" ht="26.25" customHeight="1" x14ac:dyDescent="0.2">
      <c r="A7" s="14"/>
      <c r="B7" s="14"/>
      <c r="C7" s="73" t="s">
        <v>455</v>
      </c>
      <c r="D7" s="78" t="s">
        <v>60</v>
      </c>
      <c r="E7" s="13">
        <v>44529</v>
      </c>
      <c r="F7" s="76" t="s">
        <v>214</v>
      </c>
      <c r="G7" s="13">
        <v>44535</v>
      </c>
      <c r="H7" s="77" t="s">
        <v>399</v>
      </c>
      <c r="I7" s="16">
        <v>146</v>
      </c>
      <c r="J7" s="16">
        <v>30</v>
      </c>
      <c r="K7" s="16">
        <v>18</v>
      </c>
      <c r="L7" s="16">
        <v>20</v>
      </c>
      <c r="M7" s="81">
        <v>19.71</v>
      </c>
      <c r="N7" s="96">
        <v>20</v>
      </c>
      <c r="O7" s="64">
        <v>7000</v>
      </c>
      <c r="P7" s="65">
        <f>Table22457891011234567891011121314151617181920212223[[#This Row],[PEMBULATAN]]*O7</f>
        <v>140000</v>
      </c>
    </row>
    <row r="8" spans="1:16" ht="26.25" customHeight="1" x14ac:dyDescent="0.2">
      <c r="A8" s="14"/>
      <c r="B8" s="14"/>
      <c r="C8" s="73" t="s">
        <v>456</v>
      </c>
      <c r="D8" s="78" t="s">
        <v>60</v>
      </c>
      <c r="E8" s="13">
        <v>44529</v>
      </c>
      <c r="F8" s="76" t="s">
        <v>214</v>
      </c>
      <c r="G8" s="13">
        <v>44535</v>
      </c>
      <c r="H8" s="77" t="s">
        <v>399</v>
      </c>
      <c r="I8" s="16">
        <v>44</v>
      </c>
      <c r="J8" s="16">
        <v>42</v>
      </c>
      <c r="K8" s="16">
        <v>73</v>
      </c>
      <c r="L8" s="16">
        <v>36</v>
      </c>
      <c r="M8" s="81">
        <v>33.725999999999999</v>
      </c>
      <c r="N8" s="96">
        <v>36</v>
      </c>
      <c r="O8" s="64">
        <v>7000</v>
      </c>
      <c r="P8" s="65">
        <f>Table22457891011234567891011121314151617181920212223[[#This Row],[PEMBULATAN]]*O8</f>
        <v>252000</v>
      </c>
    </row>
    <row r="9" spans="1:16" ht="26.25" customHeight="1" x14ac:dyDescent="0.2">
      <c r="A9" s="14"/>
      <c r="B9" s="14"/>
      <c r="C9" s="73" t="s">
        <v>457</v>
      </c>
      <c r="D9" s="78" t="s">
        <v>60</v>
      </c>
      <c r="E9" s="13">
        <v>44529</v>
      </c>
      <c r="F9" s="76" t="s">
        <v>214</v>
      </c>
      <c r="G9" s="13">
        <v>44535</v>
      </c>
      <c r="H9" s="77" t="s">
        <v>399</v>
      </c>
      <c r="I9" s="16">
        <v>100</v>
      </c>
      <c r="J9" s="16">
        <v>36</v>
      </c>
      <c r="K9" s="16">
        <v>10</v>
      </c>
      <c r="L9" s="16">
        <v>7</v>
      </c>
      <c r="M9" s="81">
        <v>9</v>
      </c>
      <c r="N9" s="96">
        <v>9</v>
      </c>
      <c r="O9" s="64">
        <v>7000</v>
      </c>
      <c r="P9" s="65">
        <f>Table22457891011234567891011121314151617181920212223[[#This Row],[PEMBULATAN]]*O9</f>
        <v>63000</v>
      </c>
    </row>
    <row r="10" spans="1:16" ht="26.25" customHeight="1" x14ac:dyDescent="0.2">
      <c r="A10" s="14"/>
      <c r="B10" s="14"/>
      <c r="C10" s="73" t="s">
        <v>458</v>
      </c>
      <c r="D10" s="78" t="s">
        <v>60</v>
      </c>
      <c r="E10" s="13">
        <v>44529</v>
      </c>
      <c r="F10" s="76" t="s">
        <v>214</v>
      </c>
      <c r="G10" s="13">
        <v>44535</v>
      </c>
      <c r="H10" s="77" t="s">
        <v>399</v>
      </c>
      <c r="I10" s="16">
        <v>64</v>
      </c>
      <c r="J10" s="16">
        <v>36</v>
      </c>
      <c r="K10" s="16">
        <v>46</v>
      </c>
      <c r="L10" s="16">
        <v>10</v>
      </c>
      <c r="M10" s="81">
        <v>26.495999999999999</v>
      </c>
      <c r="N10" s="96">
        <v>26.495999999999999</v>
      </c>
      <c r="O10" s="64">
        <v>7000</v>
      </c>
      <c r="P10" s="65">
        <f>Table22457891011234567891011121314151617181920212223[[#This Row],[PEMBULATAN]]*O10</f>
        <v>185472</v>
      </c>
    </row>
    <row r="11" spans="1:16" ht="26.25" customHeight="1" x14ac:dyDescent="0.2">
      <c r="A11" s="14"/>
      <c r="B11" s="14"/>
      <c r="C11" s="73" t="s">
        <v>459</v>
      </c>
      <c r="D11" s="78" t="s">
        <v>60</v>
      </c>
      <c r="E11" s="13">
        <v>44529</v>
      </c>
      <c r="F11" s="76" t="s">
        <v>214</v>
      </c>
      <c r="G11" s="13">
        <v>44535</v>
      </c>
      <c r="H11" s="77" t="s">
        <v>399</v>
      </c>
      <c r="I11" s="16">
        <v>42</v>
      </c>
      <c r="J11" s="16">
        <v>33</v>
      </c>
      <c r="K11" s="16">
        <v>54</v>
      </c>
      <c r="L11" s="16">
        <v>9</v>
      </c>
      <c r="M11" s="81">
        <v>18.710999999999999</v>
      </c>
      <c r="N11" s="96">
        <v>18.710999999999999</v>
      </c>
      <c r="O11" s="64">
        <v>7000</v>
      </c>
      <c r="P11" s="65">
        <f>Table22457891011234567891011121314151617181920212223[[#This Row],[PEMBULATAN]]*O11</f>
        <v>130976.99999999999</v>
      </c>
    </row>
    <row r="12" spans="1:16" ht="26.25" customHeight="1" x14ac:dyDescent="0.2">
      <c r="A12" s="14"/>
      <c r="B12" s="14"/>
      <c r="C12" s="73" t="s">
        <v>460</v>
      </c>
      <c r="D12" s="78" t="s">
        <v>60</v>
      </c>
      <c r="E12" s="13">
        <v>44529</v>
      </c>
      <c r="F12" s="76" t="s">
        <v>214</v>
      </c>
      <c r="G12" s="13">
        <v>44535</v>
      </c>
      <c r="H12" s="77" t="s">
        <v>399</v>
      </c>
      <c r="I12" s="16">
        <v>40</v>
      </c>
      <c r="J12" s="16">
        <v>46</v>
      </c>
      <c r="K12" s="16">
        <v>25</v>
      </c>
      <c r="L12" s="16">
        <v>15</v>
      </c>
      <c r="M12" s="81">
        <v>11.5</v>
      </c>
      <c r="N12" s="96">
        <v>16</v>
      </c>
      <c r="O12" s="64">
        <v>7000</v>
      </c>
      <c r="P12" s="65">
        <f>Table22457891011234567891011121314151617181920212223[[#This Row],[PEMBULATAN]]*O12</f>
        <v>112000</v>
      </c>
    </row>
    <row r="13" spans="1:16" ht="26.25" customHeight="1" x14ac:dyDescent="0.2">
      <c r="A13" s="14"/>
      <c r="B13" s="97"/>
      <c r="C13" s="73" t="s">
        <v>461</v>
      </c>
      <c r="D13" s="78" t="s">
        <v>60</v>
      </c>
      <c r="E13" s="13">
        <v>44529</v>
      </c>
      <c r="F13" s="76" t="s">
        <v>214</v>
      </c>
      <c r="G13" s="13">
        <v>44535</v>
      </c>
      <c r="H13" s="77" t="s">
        <v>399</v>
      </c>
      <c r="I13" s="16">
        <v>70</v>
      </c>
      <c r="J13" s="16">
        <v>27</v>
      </c>
      <c r="K13" s="16">
        <v>22</v>
      </c>
      <c r="L13" s="16">
        <v>8</v>
      </c>
      <c r="M13" s="81">
        <v>10.395</v>
      </c>
      <c r="N13" s="96">
        <v>11</v>
      </c>
      <c r="O13" s="64">
        <v>7000</v>
      </c>
      <c r="P13" s="65">
        <f>Table22457891011234567891011121314151617181920212223[[#This Row],[PEMBULATAN]]*O13</f>
        <v>77000</v>
      </c>
    </row>
    <row r="14" spans="1:16" ht="26.25" customHeight="1" x14ac:dyDescent="0.2">
      <c r="A14" s="14"/>
      <c r="B14" s="14" t="s">
        <v>462</v>
      </c>
      <c r="C14" s="73" t="s">
        <v>463</v>
      </c>
      <c r="D14" s="78" t="s">
        <v>60</v>
      </c>
      <c r="E14" s="13">
        <v>44529</v>
      </c>
      <c r="F14" s="76" t="s">
        <v>214</v>
      </c>
      <c r="G14" s="13">
        <v>44535</v>
      </c>
      <c r="H14" s="77" t="s">
        <v>399</v>
      </c>
      <c r="I14" s="16">
        <v>20</v>
      </c>
      <c r="J14" s="16">
        <v>20</v>
      </c>
      <c r="K14" s="16">
        <v>20</v>
      </c>
      <c r="L14" s="16">
        <v>12</v>
      </c>
      <c r="M14" s="81">
        <v>2</v>
      </c>
      <c r="N14" s="96">
        <v>12</v>
      </c>
      <c r="O14" s="64">
        <v>7000</v>
      </c>
      <c r="P14" s="65">
        <f>Table22457891011234567891011121314151617181920212223[[#This Row],[PEMBULATAN]]*O14</f>
        <v>84000</v>
      </c>
    </row>
    <row r="15" spans="1:16" ht="26.25" customHeight="1" x14ac:dyDescent="0.2">
      <c r="A15" s="14"/>
      <c r="B15" s="14"/>
      <c r="C15" s="73" t="s">
        <v>464</v>
      </c>
      <c r="D15" s="78" t="s">
        <v>60</v>
      </c>
      <c r="E15" s="13">
        <v>44529</v>
      </c>
      <c r="F15" s="76" t="s">
        <v>214</v>
      </c>
      <c r="G15" s="13">
        <v>44535</v>
      </c>
      <c r="H15" s="77" t="s">
        <v>399</v>
      </c>
      <c r="I15" s="16">
        <v>42</v>
      </c>
      <c r="J15" s="16">
        <v>35</v>
      </c>
      <c r="K15" s="16">
        <v>26</v>
      </c>
      <c r="L15" s="16">
        <v>5</v>
      </c>
      <c r="M15" s="81">
        <v>9.5549999999999997</v>
      </c>
      <c r="N15" s="96">
        <v>9.5549999999999997</v>
      </c>
      <c r="O15" s="64">
        <v>7000</v>
      </c>
      <c r="P15" s="65">
        <f>Table22457891011234567891011121314151617181920212223[[#This Row],[PEMBULATAN]]*O15</f>
        <v>66885</v>
      </c>
    </row>
    <row r="16" spans="1:16" ht="22.5" customHeight="1" x14ac:dyDescent="0.2">
      <c r="A16" s="117" t="s">
        <v>30</v>
      </c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9"/>
      <c r="M16" s="79">
        <f>SUBTOTAL(109,Table22457891011234567891011121314151617181920212223[KG VOLUME])</f>
        <v>238.35900000000001</v>
      </c>
      <c r="N16" s="68">
        <f>SUM(N3:N15)</f>
        <v>262.642</v>
      </c>
      <c r="O16" s="120">
        <f>SUM(P3:P15)</f>
        <v>1838494</v>
      </c>
      <c r="P16" s="121"/>
    </row>
    <row r="17" spans="1:16" ht="18" customHeight="1" x14ac:dyDescent="0.2">
      <c r="A17" s="86"/>
      <c r="B17" s="56" t="s">
        <v>42</v>
      </c>
      <c r="C17" s="55"/>
      <c r="D17" s="57" t="s">
        <v>43</v>
      </c>
      <c r="E17" s="86"/>
      <c r="F17" s="86"/>
      <c r="G17" s="86"/>
      <c r="H17" s="86"/>
      <c r="I17" s="86"/>
      <c r="J17" s="86"/>
      <c r="K17" s="86"/>
      <c r="L17" s="86"/>
      <c r="M17" s="87"/>
      <c r="N17" s="88" t="s">
        <v>52</v>
      </c>
      <c r="O17" s="89"/>
      <c r="P17" s="89">
        <v>0</v>
      </c>
    </row>
    <row r="18" spans="1:16" ht="18" customHeight="1" thickBot="1" x14ac:dyDescent="0.25">
      <c r="A18" s="86"/>
      <c r="B18" s="56"/>
      <c r="C18" s="55"/>
      <c r="D18" s="57"/>
      <c r="E18" s="86"/>
      <c r="F18" s="86"/>
      <c r="G18" s="86"/>
      <c r="H18" s="86"/>
      <c r="I18" s="86"/>
      <c r="J18" s="86"/>
      <c r="K18" s="86"/>
      <c r="L18" s="86"/>
      <c r="M18" s="87"/>
      <c r="N18" s="90" t="s">
        <v>53</v>
      </c>
      <c r="O18" s="91"/>
      <c r="P18" s="91">
        <f>O16-P17</f>
        <v>1838494</v>
      </c>
    </row>
    <row r="19" spans="1:16" ht="18" customHeight="1" x14ac:dyDescent="0.2">
      <c r="A19" s="11"/>
      <c r="H19" s="63"/>
      <c r="N19" s="62" t="s">
        <v>31</v>
      </c>
      <c r="P19" s="69">
        <f>P18*1%</f>
        <v>18384.939999999999</v>
      </c>
    </row>
    <row r="20" spans="1:16" ht="18" customHeight="1" thickBot="1" x14ac:dyDescent="0.25">
      <c r="A20" s="11"/>
      <c r="H20" s="63"/>
      <c r="N20" s="62" t="s">
        <v>54</v>
      </c>
      <c r="P20" s="71">
        <f>P18*2%</f>
        <v>36769.879999999997</v>
      </c>
    </row>
    <row r="21" spans="1:16" ht="18" customHeight="1" x14ac:dyDescent="0.2">
      <c r="A21" s="11"/>
      <c r="H21" s="63"/>
      <c r="N21" s="66" t="s">
        <v>32</v>
      </c>
      <c r="O21" s="67"/>
      <c r="P21" s="70">
        <f>P18+P19-P20</f>
        <v>1820109.06</v>
      </c>
    </row>
    <row r="23" spans="1:16" x14ac:dyDescent="0.2">
      <c r="A23" s="11"/>
      <c r="H23" s="63"/>
      <c r="P23" s="71"/>
    </row>
    <row r="24" spans="1:16" x14ac:dyDescent="0.2">
      <c r="A24" s="11"/>
      <c r="H24" s="63"/>
      <c r="O24" s="58"/>
      <c r="P24" s="71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3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3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3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3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3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3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3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3"/>
      <c r="N36" s="15"/>
      <c r="O36" s="15"/>
      <c r="P36" s="15"/>
    </row>
  </sheetData>
  <mergeCells count="2">
    <mergeCell ref="A16:L16"/>
    <mergeCell ref="O16:P16"/>
  </mergeCells>
  <conditionalFormatting sqref="B3">
    <cfRule type="duplicateValues" dxfId="53" priority="2"/>
  </conditionalFormatting>
  <conditionalFormatting sqref="B4">
    <cfRule type="duplicateValues" dxfId="52" priority="1"/>
  </conditionalFormatting>
  <conditionalFormatting sqref="B5:B15">
    <cfRule type="duplicateValues" dxfId="51" priority="2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8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E10" sqref="E1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403953</v>
      </c>
      <c r="B3" s="74" t="s">
        <v>465</v>
      </c>
      <c r="C3" s="9" t="s">
        <v>466</v>
      </c>
      <c r="D3" s="76" t="s">
        <v>60</v>
      </c>
      <c r="E3" s="13">
        <v>44530</v>
      </c>
      <c r="F3" s="76" t="s">
        <v>214</v>
      </c>
      <c r="G3" s="13">
        <v>44535</v>
      </c>
      <c r="H3" s="10" t="s">
        <v>399</v>
      </c>
      <c r="I3" s="1">
        <v>180</v>
      </c>
      <c r="J3" s="1">
        <v>35</v>
      </c>
      <c r="K3" s="1">
        <v>22</v>
      </c>
      <c r="L3" s="1">
        <v>22</v>
      </c>
      <c r="M3" s="80">
        <v>34.65</v>
      </c>
      <c r="N3" s="96">
        <v>34.65</v>
      </c>
      <c r="O3" s="64">
        <v>7000</v>
      </c>
      <c r="P3" s="65">
        <f>Table2245789101123456789101112131415161718192021222324[[#This Row],[PEMBULATAN]]*O3</f>
        <v>242550</v>
      </c>
    </row>
    <row r="4" spans="1:16" ht="26.25" customHeight="1" x14ac:dyDescent="0.2">
      <c r="A4" s="14"/>
      <c r="B4" s="75"/>
      <c r="C4" s="9" t="s">
        <v>467</v>
      </c>
      <c r="D4" s="76" t="s">
        <v>60</v>
      </c>
      <c r="E4" s="13">
        <v>44530</v>
      </c>
      <c r="F4" s="76" t="s">
        <v>214</v>
      </c>
      <c r="G4" s="13">
        <v>44535</v>
      </c>
      <c r="H4" s="10" t="s">
        <v>399</v>
      </c>
      <c r="I4" s="1">
        <v>36</v>
      </c>
      <c r="J4" s="1">
        <v>17</v>
      </c>
      <c r="K4" s="1">
        <v>15</v>
      </c>
      <c r="L4" s="1">
        <v>5</v>
      </c>
      <c r="M4" s="80">
        <v>2.2949999999999999</v>
      </c>
      <c r="N4" s="96">
        <v>6</v>
      </c>
      <c r="O4" s="64">
        <v>7000</v>
      </c>
      <c r="P4" s="65">
        <f>Table2245789101123456789101112131415161718192021222324[[#This Row],[PEMBULATAN]]*O4</f>
        <v>42000</v>
      </c>
    </row>
    <row r="5" spans="1:16" ht="26.25" customHeight="1" x14ac:dyDescent="0.2">
      <c r="A5" s="14"/>
      <c r="B5" s="14"/>
      <c r="C5" s="9" t="s">
        <v>468</v>
      </c>
      <c r="D5" s="76" t="s">
        <v>60</v>
      </c>
      <c r="E5" s="13">
        <v>44530</v>
      </c>
      <c r="F5" s="76" t="s">
        <v>214</v>
      </c>
      <c r="G5" s="13">
        <v>44535</v>
      </c>
      <c r="H5" s="10" t="s">
        <v>399</v>
      </c>
      <c r="I5" s="1">
        <v>55</v>
      </c>
      <c r="J5" s="1">
        <v>43</v>
      </c>
      <c r="K5" s="1">
        <v>30</v>
      </c>
      <c r="L5" s="1">
        <v>8</v>
      </c>
      <c r="M5" s="80">
        <v>17.737500000000001</v>
      </c>
      <c r="N5" s="96">
        <v>17.737500000000001</v>
      </c>
      <c r="O5" s="64">
        <v>7000</v>
      </c>
      <c r="P5" s="65">
        <f>Table2245789101123456789101112131415161718192021222324[[#This Row],[PEMBULATAN]]*O5</f>
        <v>124162.5</v>
      </c>
    </row>
    <row r="6" spans="1:16" ht="26.25" customHeight="1" x14ac:dyDescent="0.2">
      <c r="A6" s="14"/>
      <c r="B6" s="97"/>
      <c r="C6" s="73" t="s">
        <v>469</v>
      </c>
      <c r="D6" s="78" t="s">
        <v>60</v>
      </c>
      <c r="E6" s="13">
        <v>44530</v>
      </c>
      <c r="F6" s="76" t="s">
        <v>214</v>
      </c>
      <c r="G6" s="13">
        <v>44535</v>
      </c>
      <c r="H6" s="77" t="s">
        <v>399</v>
      </c>
      <c r="I6" s="16">
        <v>52</v>
      </c>
      <c r="J6" s="16">
        <v>25</v>
      </c>
      <c r="K6" s="16">
        <v>22</v>
      </c>
      <c r="L6" s="16">
        <v>7</v>
      </c>
      <c r="M6" s="81">
        <v>7.15</v>
      </c>
      <c r="N6" s="96">
        <v>7.15</v>
      </c>
      <c r="O6" s="64">
        <v>7000</v>
      </c>
      <c r="P6" s="65">
        <f>Table2245789101123456789101112131415161718192021222324[[#This Row],[PEMBULATAN]]*O6</f>
        <v>50050</v>
      </c>
    </row>
    <row r="7" spans="1:16" ht="26.25" customHeight="1" x14ac:dyDescent="0.2">
      <c r="A7" s="14"/>
      <c r="B7" s="14" t="s">
        <v>470</v>
      </c>
      <c r="C7" s="73" t="s">
        <v>471</v>
      </c>
      <c r="D7" s="78" t="s">
        <v>60</v>
      </c>
      <c r="E7" s="13">
        <v>44530</v>
      </c>
      <c r="F7" s="76" t="s">
        <v>214</v>
      </c>
      <c r="G7" s="13">
        <v>44535</v>
      </c>
      <c r="H7" s="77" t="s">
        <v>399</v>
      </c>
      <c r="I7" s="16">
        <v>56</v>
      </c>
      <c r="J7" s="16">
        <v>27</v>
      </c>
      <c r="K7" s="16">
        <v>20</v>
      </c>
      <c r="L7" s="16">
        <v>6</v>
      </c>
      <c r="M7" s="81">
        <v>7.56</v>
      </c>
      <c r="N7" s="96">
        <v>7.56</v>
      </c>
      <c r="O7" s="64">
        <v>7000</v>
      </c>
      <c r="P7" s="65">
        <f>Table2245789101123456789101112131415161718192021222324[[#This Row],[PEMBULATAN]]*O7</f>
        <v>52920</v>
      </c>
    </row>
    <row r="8" spans="1:16" ht="22.5" customHeight="1" x14ac:dyDescent="0.2">
      <c r="A8" s="117" t="s">
        <v>30</v>
      </c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9"/>
      <c r="M8" s="79">
        <f>SUBTOTAL(109,Table2245789101123456789101112131415161718192021222324[KG VOLUME])</f>
        <v>69.392499999999998</v>
      </c>
      <c r="N8" s="68">
        <f>SUM(N3:N7)</f>
        <v>73.097500000000011</v>
      </c>
      <c r="O8" s="120">
        <f>SUM(P3:P7)</f>
        <v>511682.5</v>
      </c>
      <c r="P8" s="121"/>
    </row>
    <row r="9" spans="1:16" ht="18" customHeight="1" x14ac:dyDescent="0.2">
      <c r="A9" s="86"/>
      <c r="B9" s="56" t="s">
        <v>42</v>
      </c>
      <c r="C9" s="55"/>
      <c r="D9" s="57" t="s">
        <v>43</v>
      </c>
      <c r="E9" s="86"/>
      <c r="F9" s="86"/>
      <c r="G9" s="86"/>
      <c r="H9" s="86"/>
      <c r="I9" s="86"/>
      <c r="J9" s="86"/>
      <c r="K9" s="86"/>
      <c r="L9" s="86"/>
      <c r="M9" s="87"/>
      <c r="N9" s="88" t="s">
        <v>52</v>
      </c>
      <c r="O9" s="89"/>
      <c r="P9" s="89">
        <v>0</v>
      </c>
    </row>
    <row r="10" spans="1:16" ht="18" customHeight="1" thickBot="1" x14ac:dyDescent="0.25">
      <c r="A10" s="86"/>
      <c r="B10" s="56"/>
      <c r="C10" s="55"/>
      <c r="D10" s="57"/>
      <c r="E10" s="86"/>
      <c r="F10" s="86"/>
      <c r="G10" s="86"/>
      <c r="H10" s="86"/>
      <c r="I10" s="86"/>
      <c r="J10" s="86"/>
      <c r="K10" s="86"/>
      <c r="L10" s="86"/>
      <c r="M10" s="87"/>
      <c r="N10" s="90" t="s">
        <v>53</v>
      </c>
      <c r="O10" s="91"/>
      <c r="P10" s="91">
        <f>O8-P9</f>
        <v>511682.5</v>
      </c>
    </row>
    <row r="11" spans="1:16" ht="18" customHeight="1" x14ac:dyDescent="0.2">
      <c r="A11" s="11"/>
      <c r="H11" s="63"/>
      <c r="N11" s="62" t="s">
        <v>31</v>
      </c>
      <c r="P11" s="69">
        <f>P10*1%</f>
        <v>5116.8249999999998</v>
      </c>
    </row>
    <row r="12" spans="1:16" ht="18" customHeight="1" thickBot="1" x14ac:dyDescent="0.25">
      <c r="A12" s="11"/>
      <c r="H12" s="63"/>
      <c r="N12" s="62" t="s">
        <v>54</v>
      </c>
      <c r="P12" s="71">
        <f>P10*2%</f>
        <v>10233.65</v>
      </c>
    </row>
    <row r="13" spans="1:16" ht="18" customHeight="1" x14ac:dyDescent="0.2">
      <c r="A13" s="11"/>
      <c r="H13" s="63"/>
      <c r="N13" s="66" t="s">
        <v>32</v>
      </c>
      <c r="O13" s="67"/>
      <c r="P13" s="70">
        <f>P10+P11-P12</f>
        <v>506565.67499999999</v>
      </c>
    </row>
    <row r="15" spans="1:16" x14ac:dyDescent="0.2">
      <c r="A15" s="11"/>
      <c r="H15" s="63"/>
      <c r="P15" s="71"/>
    </row>
    <row r="16" spans="1:16" x14ac:dyDescent="0.2">
      <c r="A16" s="11"/>
      <c r="H16" s="63"/>
      <c r="O16" s="58"/>
      <c r="P16" s="71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</sheetData>
  <mergeCells count="2">
    <mergeCell ref="A8:L8"/>
    <mergeCell ref="O8:P8"/>
  </mergeCells>
  <conditionalFormatting sqref="B3">
    <cfRule type="duplicateValues" dxfId="35" priority="2"/>
  </conditionalFormatting>
  <conditionalFormatting sqref="B4">
    <cfRule type="duplicateValues" dxfId="34" priority="1"/>
  </conditionalFormatting>
  <conditionalFormatting sqref="B5:B7">
    <cfRule type="duplicateValues" dxfId="33" priority="2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E5" sqref="E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403736</v>
      </c>
      <c r="B3" s="74" t="s">
        <v>472</v>
      </c>
      <c r="C3" s="9" t="s">
        <v>473</v>
      </c>
      <c r="D3" s="76" t="s">
        <v>60</v>
      </c>
      <c r="E3" s="13">
        <v>44530</v>
      </c>
      <c r="F3" s="76" t="s">
        <v>214</v>
      </c>
      <c r="G3" s="13">
        <v>44535</v>
      </c>
      <c r="H3" s="10" t="s">
        <v>399</v>
      </c>
      <c r="I3" s="1">
        <v>36</v>
      </c>
      <c r="J3" s="1">
        <v>25</v>
      </c>
      <c r="K3" s="1">
        <v>31</v>
      </c>
      <c r="L3" s="1">
        <v>8</v>
      </c>
      <c r="M3" s="80">
        <v>6.9749999999999996</v>
      </c>
      <c r="N3" s="8">
        <v>8</v>
      </c>
      <c r="O3" s="64">
        <v>7000</v>
      </c>
      <c r="P3" s="65">
        <f>Table224578910112345678910111213141516171819202122232425[[#This Row],[PEMBULATAN]]*O3</f>
        <v>56000</v>
      </c>
    </row>
    <row r="4" spans="1:16" ht="26.25" customHeight="1" x14ac:dyDescent="0.2">
      <c r="A4" s="14"/>
      <c r="B4" s="75"/>
      <c r="C4" s="9" t="s">
        <v>474</v>
      </c>
      <c r="D4" s="76" t="s">
        <v>60</v>
      </c>
      <c r="E4" s="13">
        <v>44530</v>
      </c>
      <c r="F4" s="76" t="s">
        <v>214</v>
      </c>
      <c r="G4" s="13">
        <v>44535</v>
      </c>
      <c r="H4" s="10" t="s">
        <v>399</v>
      </c>
      <c r="I4" s="1">
        <v>103</v>
      </c>
      <c r="J4" s="1">
        <v>38</v>
      </c>
      <c r="K4" s="1">
        <v>22</v>
      </c>
      <c r="L4" s="1">
        <v>4</v>
      </c>
      <c r="M4" s="80">
        <v>21.527000000000001</v>
      </c>
      <c r="N4" s="96">
        <v>21.527000000000001</v>
      </c>
      <c r="O4" s="64">
        <v>7000</v>
      </c>
      <c r="P4" s="65">
        <f>Table224578910112345678910111213141516171819202122232425[[#This Row],[PEMBULATAN]]*O4</f>
        <v>150689</v>
      </c>
    </row>
    <row r="5" spans="1:16" ht="26.25" customHeight="1" x14ac:dyDescent="0.2">
      <c r="A5" s="14"/>
      <c r="B5" s="14"/>
      <c r="C5" s="9" t="s">
        <v>475</v>
      </c>
      <c r="D5" s="76" t="s">
        <v>60</v>
      </c>
      <c r="E5" s="13">
        <v>44530</v>
      </c>
      <c r="F5" s="76" t="s">
        <v>214</v>
      </c>
      <c r="G5" s="13">
        <v>44535</v>
      </c>
      <c r="H5" s="10" t="s">
        <v>399</v>
      </c>
      <c r="I5" s="1">
        <v>52</v>
      </c>
      <c r="J5" s="1">
        <v>52</v>
      </c>
      <c r="K5" s="1">
        <v>42</v>
      </c>
      <c r="L5" s="1">
        <v>45</v>
      </c>
      <c r="M5" s="80">
        <v>28.391999999999999</v>
      </c>
      <c r="N5" s="96">
        <v>46</v>
      </c>
      <c r="O5" s="64">
        <v>7000</v>
      </c>
      <c r="P5" s="65">
        <f>Table224578910112345678910111213141516171819202122232425[[#This Row],[PEMBULATAN]]*O5</f>
        <v>322000</v>
      </c>
    </row>
    <row r="6" spans="1:16" ht="26.25" customHeight="1" x14ac:dyDescent="0.2">
      <c r="A6" s="14"/>
      <c r="B6" s="14"/>
      <c r="C6" s="73" t="s">
        <v>476</v>
      </c>
      <c r="D6" s="78" t="s">
        <v>60</v>
      </c>
      <c r="E6" s="13">
        <v>44530</v>
      </c>
      <c r="F6" s="76" t="s">
        <v>214</v>
      </c>
      <c r="G6" s="13">
        <v>44535</v>
      </c>
      <c r="H6" s="77" t="s">
        <v>399</v>
      </c>
      <c r="I6" s="16">
        <v>64</v>
      </c>
      <c r="J6" s="16">
        <v>33</v>
      </c>
      <c r="K6" s="16">
        <v>35</v>
      </c>
      <c r="L6" s="16">
        <v>12</v>
      </c>
      <c r="M6" s="81">
        <v>18.48</v>
      </c>
      <c r="N6" s="96">
        <v>19</v>
      </c>
      <c r="O6" s="64">
        <v>7000</v>
      </c>
      <c r="P6" s="65">
        <f>Table224578910112345678910111213141516171819202122232425[[#This Row],[PEMBULATAN]]*O6</f>
        <v>133000</v>
      </c>
    </row>
    <row r="7" spans="1:16" ht="26.25" customHeight="1" x14ac:dyDescent="0.2">
      <c r="A7" s="14"/>
      <c r="B7" s="14"/>
      <c r="C7" s="73" t="s">
        <v>477</v>
      </c>
      <c r="D7" s="78" t="s">
        <v>60</v>
      </c>
      <c r="E7" s="13">
        <v>44530</v>
      </c>
      <c r="F7" s="76" t="s">
        <v>214</v>
      </c>
      <c r="G7" s="13">
        <v>44535</v>
      </c>
      <c r="H7" s="77" t="s">
        <v>399</v>
      </c>
      <c r="I7" s="16">
        <v>83</v>
      </c>
      <c r="J7" s="16">
        <v>37</v>
      </c>
      <c r="K7" s="16">
        <v>16</v>
      </c>
      <c r="L7" s="16">
        <v>7</v>
      </c>
      <c r="M7" s="81">
        <v>12.284000000000001</v>
      </c>
      <c r="N7" s="96">
        <v>12.284000000000001</v>
      </c>
      <c r="O7" s="64">
        <v>7000</v>
      </c>
      <c r="P7" s="65">
        <f>Table224578910112345678910111213141516171819202122232425[[#This Row],[PEMBULATAN]]*O7</f>
        <v>85988</v>
      </c>
    </row>
    <row r="8" spans="1:16" ht="26.25" customHeight="1" x14ac:dyDescent="0.2">
      <c r="A8" s="14"/>
      <c r="B8" s="14"/>
      <c r="C8" s="73" t="s">
        <v>478</v>
      </c>
      <c r="D8" s="78" t="s">
        <v>60</v>
      </c>
      <c r="E8" s="13">
        <v>44530</v>
      </c>
      <c r="F8" s="76" t="s">
        <v>214</v>
      </c>
      <c r="G8" s="13">
        <v>44535</v>
      </c>
      <c r="H8" s="77" t="s">
        <v>399</v>
      </c>
      <c r="I8" s="16">
        <v>42</v>
      </c>
      <c r="J8" s="16">
        <v>23</v>
      </c>
      <c r="K8" s="16">
        <v>28</v>
      </c>
      <c r="L8" s="16">
        <v>10</v>
      </c>
      <c r="M8" s="81">
        <v>6.7619999999999996</v>
      </c>
      <c r="N8" s="96">
        <v>10</v>
      </c>
      <c r="O8" s="64">
        <v>7000</v>
      </c>
      <c r="P8" s="65">
        <f>Table224578910112345678910111213141516171819202122232425[[#This Row],[PEMBULATAN]]*O8</f>
        <v>70000</v>
      </c>
    </row>
    <row r="9" spans="1:16" ht="26.25" customHeight="1" x14ac:dyDescent="0.2">
      <c r="A9" s="14"/>
      <c r="B9" s="14"/>
      <c r="C9" s="73" t="s">
        <v>479</v>
      </c>
      <c r="D9" s="78" t="s">
        <v>60</v>
      </c>
      <c r="E9" s="13">
        <v>44530</v>
      </c>
      <c r="F9" s="76" t="s">
        <v>214</v>
      </c>
      <c r="G9" s="13">
        <v>44535</v>
      </c>
      <c r="H9" s="77" t="s">
        <v>399</v>
      </c>
      <c r="I9" s="16">
        <v>47</v>
      </c>
      <c r="J9" s="16">
        <v>38</v>
      </c>
      <c r="K9" s="16">
        <v>28</v>
      </c>
      <c r="L9" s="16">
        <v>9</v>
      </c>
      <c r="M9" s="81">
        <v>12.502000000000001</v>
      </c>
      <c r="N9" s="96">
        <v>14</v>
      </c>
      <c r="O9" s="64">
        <v>7000</v>
      </c>
      <c r="P9" s="65">
        <f>Table224578910112345678910111213141516171819202122232425[[#This Row],[PEMBULATAN]]*O9</f>
        <v>98000</v>
      </c>
    </row>
    <row r="10" spans="1:16" ht="26.25" customHeight="1" x14ac:dyDescent="0.2">
      <c r="A10" s="14"/>
      <c r="B10" s="14"/>
      <c r="C10" s="73" t="s">
        <v>480</v>
      </c>
      <c r="D10" s="78" t="s">
        <v>60</v>
      </c>
      <c r="E10" s="13">
        <v>44530</v>
      </c>
      <c r="F10" s="76" t="s">
        <v>214</v>
      </c>
      <c r="G10" s="13">
        <v>44535</v>
      </c>
      <c r="H10" s="77" t="s">
        <v>399</v>
      </c>
      <c r="I10" s="16">
        <v>46</v>
      </c>
      <c r="J10" s="16">
        <v>35</v>
      </c>
      <c r="K10" s="16">
        <v>28</v>
      </c>
      <c r="L10" s="16">
        <v>10</v>
      </c>
      <c r="M10" s="81">
        <v>11.27</v>
      </c>
      <c r="N10" s="96">
        <v>11.27</v>
      </c>
      <c r="O10" s="64">
        <v>7000</v>
      </c>
      <c r="P10" s="65">
        <f>Table224578910112345678910111213141516171819202122232425[[#This Row],[PEMBULATAN]]*O10</f>
        <v>78890</v>
      </c>
    </row>
    <row r="11" spans="1:16" ht="26.25" customHeight="1" x14ac:dyDescent="0.2">
      <c r="A11" s="14"/>
      <c r="B11" s="14"/>
      <c r="C11" s="73" t="s">
        <v>481</v>
      </c>
      <c r="D11" s="78" t="s">
        <v>60</v>
      </c>
      <c r="E11" s="13">
        <v>44530</v>
      </c>
      <c r="F11" s="76" t="s">
        <v>214</v>
      </c>
      <c r="G11" s="13">
        <v>44535</v>
      </c>
      <c r="H11" s="77" t="s">
        <v>399</v>
      </c>
      <c r="I11" s="16">
        <v>38</v>
      </c>
      <c r="J11" s="16">
        <v>28</v>
      </c>
      <c r="K11" s="16">
        <v>16</v>
      </c>
      <c r="L11" s="16">
        <v>5</v>
      </c>
      <c r="M11" s="81">
        <v>4.2560000000000002</v>
      </c>
      <c r="N11" s="96">
        <v>5</v>
      </c>
      <c r="O11" s="64">
        <v>7000</v>
      </c>
      <c r="P11" s="65">
        <f>Table224578910112345678910111213141516171819202122232425[[#This Row],[PEMBULATAN]]*O11</f>
        <v>35000</v>
      </c>
    </row>
    <row r="12" spans="1:16" ht="26.25" customHeight="1" x14ac:dyDescent="0.2">
      <c r="A12" s="14"/>
      <c r="B12" s="14"/>
      <c r="C12" s="73" t="s">
        <v>482</v>
      </c>
      <c r="D12" s="78" t="s">
        <v>60</v>
      </c>
      <c r="E12" s="13">
        <v>44530</v>
      </c>
      <c r="F12" s="76" t="s">
        <v>214</v>
      </c>
      <c r="G12" s="13">
        <v>44535</v>
      </c>
      <c r="H12" s="77" t="s">
        <v>399</v>
      </c>
      <c r="I12" s="16">
        <v>46</v>
      </c>
      <c r="J12" s="16">
        <v>30</v>
      </c>
      <c r="K12" s="16">
        <v>28</v>
      </c>
      <c r="L12" s="16">
        <v>6</v>
      </c>
      <c r="M12" s="81">
        <v>9.66</v>
      </c>
      <c r="N12" s="96">
        <v>9.66</v>
      </c>
      <c r="O12" s="64">
        <v>7000</v>
      </c>
      <c r="P12" s="65">
        <f>Table224578910112345678910111213141516171819202122232425[[#This Row],[PEMBULATAN]]*O12</f>
        <v>67620</v>
      </c>
    </row>
    <row r="13" spans="1:16" ht="26.25" customHeight="1" x14ac:dyDescent="0.2">
      <c r="A13" s="14"/>
      <c r="B13" s="14"/>
      <c r="C13" s="73" t="s">
        <v>483</v>
      </c>
      <c r="D13" s="78" t="s">
        <v>60</v>
      </c>
      <c r="E13" s="13">
        <v>44530</v>
      </c>
      <c r="F13" s="76" t="s">
        <v>214</v>
      </c>
      <c r="G13" s="13">
        <v>44535</v>
      </c>
      <c r="H13" s="77" t="s">
        <v>399</v>
      </c>
      <c r="I13" s="16">
        <v>38</v>
      </c>
      <c r="J13" s="16">
        <v>28</v>
      </c>
      <c r="K13" s="16">
        <v>23</v>
      </c>
      <c r="L13" s="16">
        <v>3</v>
      </c>
      <c r="M13" s="81">
        <v>6.1180000000000003</v>
      </c>
      <c r="N13" s="96">
        <v>6.1180000000000003</v>
      </c>
      <c r="O13" s="64">
        <v>7000</v>
      </c>
      <c r="P13" s="65">
        <f>Table224578910112345678910111213141516171819202122232425[[#This Row],[PEMBULATAN]]*O13</f>
        <v>42826</v>
      </c>
    </row>
    <row r="14" spans="1:16" ht="26.25" customHeight="1" x14ac:dyDescent="0.2">
      <c r="A14" s="14"/>
      <c r="B14" s="14"/>
      <c r="C14" s="73" t="s">
        <v>484</v>
      </c>
      <c r="D14" s="78" t="s">
        <v>60</v>
      </c>
      <c r="E14" s="13">
        <v>44530</v>
      </c>
      <c r="F14" s="76" t="s">
        <v>214</v>
      </c>
      <c r="G14" s="13">
        <v>44535</v>
      </c>
      <c r="H14" s="77" t="s">
        <v>399</v>
      </c>
      <c r="I14" s="16">
        <v>75</v>
      </c>
      <c r="J14" s="16">
        <v>26</v>
      </c>
      <c r="K14" s="16">
        <v>8</v>
      </c>
      <c r="L14" s="16">
        <v>1</v>
      </c>
      <c r="M14" s="81">
        <v>3.9</v>
      </c>
      <c r="N14" s="96">
        <v>3.9</v>
      </c>
      <c r="O14" s="64">
        <v>7000</v>
      </c>
      <c r="P14" s="65">
        <f>Table224578910112345678910111213141516171819202122232425[[#This Row],[PEMBULATAN]]*O14</f>
        <v>27300</v>
      </c>
    </row>
    <row r="15" spans="1:16" ht="26.25" customHeight="1" x14ac:dyDescent="0.2">
      <c r="A15" s="14"/>
      <c r="B15" s="14"/>
      <c r="C15" s="73" t="s">
        <v>485</v>
      </c>
      <c r="D15" s="78" t="s">
        <v>60</v>
      </c>
      <c r="E15" s="13">
        <v>44530</v>
      </c>
      <c r="F15" s="76" t="s">
        <v>214</v>
      </c>
      <c r="G15" s="13">
        <v>44535</v>
      </c>
      <c r="H15" s="77" t="s">
        <v>399</v>
      </c>
      <c r="I15" s="16">
        <v>32</v>
      </c>
      <c r="J15" s="16">
        <v>12</v>
      </c>
      <c r="K15" s="16">
        <v>12</v>
      </c>
      <c r="L15" s="16">
        <v>7</v>
      </c>
      <c r="M15" s="81">
        <v>1.1519999999999999</v>
      </c>
      <c r="N15" s="96">
        <v>7</v>
      </c>
      <c r="O15" s="64">
        <v>7000</v>
      </c>
      <c r="P15" s="65">
        <f>Table224578910112345678910111213141516171819202122232425[[#This Row],[PEMBULATAN]]*O15</f>
        <v>49000</v>
      </c>
    </row>
    <row r="16" spans="1:16" ht="26.25" customHeight="1" x14ac:dyDescent="0.2">
      <c r="A16" s="14"/>
      <c r="B16" s="14"/>
      <c r="C16" s="73" t="s">
        <v>486</v>
      </c>
      <c r="D16" s="78" t="s">
        <v>60</v>
      </c>
      <c r="E16" s="13">
        <v>44530</v>
      </c>
      <c r="F16" s="76" t="s">
        <v>214</v>
      </c>
      <c r="G16" s="13">
        <v>44535</v>
      </c>
      <c r="H16" s="77" t="s">
        <v>399</v>
      </c>
      <c r="I16" s="16">
        <v>31</v>
      </c>
      <c r="J16" s="16">
        <v>32</v>
      </c>
      <c r="K16" s="16">
        <v>18</v>
      </c>
      <c r="L16" s="16">
        <v>4</v>
      </c>
      <c r="M16" s="81">
        <v>4.4640000000000004</v>
      </c>
      <c r="N16" s="96">
        <v>5</v>
      </c>
      <c r="O16" s="64">
        <v>7000</v>
      </c>
      <c r="P16" s="65">
        <f>Table224578910112345678910111213141516171819202122232425[[#This Row],[PEMBULATAN]]*O16</f>
        <v>35000</v>
      </c>
    </row>
    <row r="17" spans="1:16" ht="26.25" customHeight="1" x14ac:dyDescent="0.2">
      <c r="A17" s="14"/>
      <c r="B17" s="14"/>
      <c r="C17" s="73" t="s">
        <v>487</v>
      </c>
      <c r="D17" s="78" t="s">
        <v>60</v>
      </c>
      <c r="E17" s="13">
        <v>44530</v>
      </c>
      <c r="F17" s="76" t="s">
        <v>214</v>
      </c>
      <c r="G17" s="13">
        <v>44535</v>
      </c>
      <c r="H17" s="77" t="s">
        <v>399</v>
      </c>
      <c r="I17" s="16">
        <v>55</v>
      </c>
      <c r="J17" s="16">
        <v>42</v>
      </c>
      <c r="K17" s="16">
        <v>42</v>
      </c>
      <c r="L17" s="16">
        <v>7</v>
      </c>
      <c r="M17" s="81">
        <v>24.254999999999999</v>
      </c>
      <c r="N17" s="96">
        <v>24.254999999999999</v>
      </c>
      <c r="O17" s="64">
        <v>7000</v>
      </c>
      <c r="P17" s="65">
        <f>Table224578910112345678910111213141516171819202122232425[[#This Row],[PEMBULATAN]]*O17</f>
        <v>169785</v>
      </c>
    </row>
    <row r="18" spans="1:16" ht="26.25" customHeight="1" x14ac:dyDescent="0.2">
      <c r="A18" s="14"/>
      <c r="B18" s="14"/>
      <c r="C18" s="73" t="s">
        <v>488</v>
      </c>
      <c r="D18" s="78" t="s">
        <v>60</v>
      </c>
      <c r="E18" s="13">
        <v>44530</v>
      </c>
      <c r="F18" s="76" t="s">
        <v>214</v>
      </c>
      <c r="G18" s="13">
        <v>44535</v>
      </c>
      <c r="H18" s="77" t="s">
        <v>399</v>
      </c>
      <c r="I18" s="16">
        <v>35</v>
      </c>
      <c r="J18" s="16">
        <v>34</v>
      </c>
      <c r="K18" s="16">
        <v>28</v>
      </c>
      <c r="L18" s="16">
        <v>16</v>
      </c>
      <c r="M18" s="81">
        <v>8.33</v>
      </c>
      <c r="N18" s="96">
        <v>17</v>
      </c>
      <c r="O18" s="64">
        <v>7000</v>
      </c>
      <c r="P18" s="65">
        <f>Table224578910112345678910111213141516171819202122232425[[#This Row],[PEMBULATAN]]*O18</f>
        <v>119000</v>
      </c>
    </row>
    <row r="19" spans="1:16" ht="26.25" customHeight="1" x14ac:dyDescent="0.2">
      <c r="A19" s="14"/>
      <c r="B19" s="14"/>
      <c r="C19" s="73" t="s">
        <v>489</v>
      </c>
      <c r="D19" s="78" t="s">
        <v>60</v>
      </c>
      <c r="E19" s="13">
        <v>44530</v>
      </c>
      <c r="F19" s="76" t="s">
        <v>214</v>
      </c>
      <c r="G19" s="13">
        <v>44535</v>
      </c>
      <c r="H19" s="77" t="s">
        <v>399</v>
      </c>
      <c r="I19" s="16">
        <v>52</v>
      </c>
      <c r="J19" s="16">
        <v>50</v>
      </c>
      <c r="K19" s="16">
        <v>41</v>
      </c>
      <c r="L19" s="16">
        <v>12</v>
      </c>
      <c r="M19" s="81">
        <v>26.65</v>
      </c>
      <c r="N19" s="96">
        <v>26.65</v>
      </c>
      <c r="O19" s="64">
        <v>7000</v>
      </c>
      <c r="P19" s="65">
        <f>Table224578910112345678910111213141516171819202122232425[[#This Row],[PEMBULATAN]]*O19</f>
        <v>186550</v>
      </c>
    </row>
    <row r="20" spans="1:16" ht="26.25" customHeight="1" x14ac:dyDescent="0.2">
      <c r="A20" s="14"/>
      <c r="B20" s="14"/>
      <c r="C20" s="73" t="s">
        <v>490</v>
      </c>
      <c r="D20" s="78" t="s">
        <v>60</v>
      </c>
      <c r="E20" s="13">
        <v>44530</v>
      </c>
      <c r="F20" s="76" t="s">
        <v>214</v>
      </c>
      <c r="G20" s="13">
        <v>44535</v>
      </c>
      <c r="H20" s="77" t="s">
        <v>399</v>
      </c>
      <c r="I20" s="16">
        <v>102</v>
      </c>
      <c r="J20" s="16">
        <v>52</v>
      </c>
      <c r="K20" s="16">
        <v>42</v>
      </c>
      <c r="L20" s="16">
        <v>40</v>
      </c>
      <c r="M20" s="81">
        <v>55.692</v>
      </c>
      <c r="N20" s="96">
        <v>55.692</v>
      </c>
      <c r="O20" s="64">
        <v>7000</v>
      </c>
      <c r="P20" s="65">
        <f>Table224578910112345678910111213141516171819202122232425[[#This Row],[PEMBULATAN]]*O20</f>
        <v>389844</v>
      </c>
    </row>
    <row r="21" spans="1:16" ht="26.25" customHeight="1" x14ac:dyDescent="0.2">
      <c r="A21" s="14"/>
      <c r="B21" s="14"/>
      <c r="C21" s="73" t="s">
        <v>491</v>
      </c>
      <c r="D21" s="78" t="s">
        <v>60</v>
      </c>
      <c r="E21" s="13">
        <v>44530</v>
      </c>
      <c r="F21" s="76" t="s">
        <v>214</v>
      </c>
      <c r="G21" s="13">
        <v>44535</v>
      </c>
      <c r="H21" s="77" t="s">
        <v>399</v>
      </c>
      <c r="I21" s="16">
        <v>48</v>
      </c>
      <c r="J21" s="16">
        <v>31</v>
      </c>
      <c r="K21" s="16">
        <v>26</v>
      </c>
      <c r="L21" s="16">
        <v>5</v>
      </c>
      <c r="M21" s="81">
        <v>9.6720000000000006</v>
      </c>
      <c r="N21" s="96">
        <v>9.6720000000000006</v>
      </c>
      <c r="O21" s="64">
        <v>7000</v>
      </c>
      <c r="P21" s="65">
        <f>Table224578910112345678910111213141516171819202122232425[[#This Row],[PEMBULATAN]]*O21</f>
        <v>67704</v>
      </c>
    </row>
    <row r="22" spans="1:16" ht="26.25" customHeight="1" x14ac:dyDescent="0.2">
      <c r="A22" s="14"/>
      <c r="B22" s="14"/>
      <c r="C22" s="73" t="s">
        <v>492</v>
      </c>
      <c r="D22" s="78" t="s">
        <v>60</v>
      </c>
      <c r="E22" s="13">
        <v>44530</v>
      </c>
      <c r="F22" s="76" t="s">
        <v>214</v>
      </c>
      <c r="G22" s="13">
        <v>44535</v>
      </c>
      <c r="H22" s="77" t="s">
        <v>399</v>
      </c>
      <c r="I22" s="16">
        <v>35</v>
      </c>
      <c r="J22" s="16">
        <v>18</v>
      </c>
      <c r="K22" s="16">
        <v>21</v>
      </c>
      <c r="L22" s="16">
        <v>12</v>
      </c>
      <c r="M22" s="81">
        <v>3.3075000000000001</v>
      </c>
      <c r="N22" s="96">
        <v>13</v>
      </c>
      <c r="O22" s="64">
        <v>7000</v>
      </c>
      <c r="P22" s="65">
        <f>Table224578910112345678910111213141516171819202122232425[[#This Row],[PEMBULATAN]]*O22</f>
        <v>91000</v>
      </c>
    </row>
    <row r="23" spans="1:16" ht="26.25" customHeight="1" x14ac:dyDescent="0.2">
      <c r="A23" s="14"/>
      <c r="B23" s="14"/>
      <c r="C23" s="73" t="s">
        <v>493</v>
      </c>
      <c r="D23" s="78" t="s">
        <v>60</v>
      </c>
      <c r="E23" s="13">
        <v>44530</v>
      </c>
      <c r="F23" s="76" t="s">
        <v>214</v>
      </c>
      <c r="G23" s="13">
        <v>44535</v>
      </c>
      <c r="H23" s="77" t="s">
        <v>399</v>
      </c>
      <c r="I23" s="16">
        <v>55</v>
      </c>
      <c r="J23" s="16">
        <v>40</v>
      </c>
      <c r="K23" s="16">
        <v>12</v>
      </c>
      <c r="L23" s="16">
        <v>6</v>
      </c>
      <c r="M23" s="81">
        <v>6.6</v>
      </c>
      <c r="N23" s="96">
        <v>6.6</v>
      </c>
      <c r="O23" s="64">
        <v>7000</v>
      </c>
      <c r="P23" s="65">
        <f>Table224578910112345678910111213141516171819202122232425[[#This Row],[PEMBULATAN]]*O23</f>
        <v>46200</v>
      </c>
    </row>
    <row r="24" spans="1:16" ht="26.25" customHeight="1" x14ac:dyDescent="0.2">
      <c r="A24" s="14"/>
      <c r="B24" s="14"/>
      <c r="C24" s="73" t="s">
        <v>494</v>
      </c>
      <c r="D24" s="78" t="s">
        <v>60</v>
      </c>
      <c r="E24" s="13">
        <v>44530</v>
      </c>
      <c r="F24" s="76" t="s">
        <v>214</v>
      </c>
      <c r="G24" s="13">
        <v>44535</v>
      </c>
      <c r="H24" s="77" t="s">
        <v>399</v>
      </c>
      <c r="I24" s="16">
        <v>40</v>
      </c>
      <c r="J24" s="16">
        <v>33</v>
      </c>
      <c r="K24" s="16">
        <v>36</v>
      </c>
      <c r="L24" s="16">
        <v>8</v>
      </c>
      <c r="M24" s="81">
        <v>11.88</v>
      </c>
      <c r="N24" s="96">
        <v>11.88</v>
      </c>
      <c r="O24" s="64">
        <v>7000</v>
      </c>
      <c r="P24" s="65">
        <f>Table224578910112345678910111213141516171819202122232425[[#This Row],[PEMBULATAN]]*O24</f>
        <v>83160</v>
      </c>
    </row>
    <row r="25" spans="1:16" ht="26.25" customHeight="1" x14ac:dyDescent="0.2">
      <c r="A25" s="14"/>
      <c r="B25" s="14"/>
      <c r="C25" s="73" t="s">
        <v>495</v>
      </c>
      <c r="D25" s="78" t="s">
        <v>60</v>
      </c>
      <c r="E25" s="13">
        <v>44530</v>
      </c>
      <c r="F25" s="76" t="s">
        <v>214</v>
      </c>
      <c r="G25" s="13">
        <v>44535</v>
      </c>
      <c r="H25" s="77" t="s">
        <v>399</v>
      </c>
      <c r="I25" s="16">
        <v>45</v>
      </c>
      <c r="J25" s="16">
        <v>26</v>
      </c>
      <c r="K25" s="16">
        <v>21</v>
      </c>
      <c r="L25" s="16">
        <v>33</v>
      </c>
      <c r="M25" s="81">
        <v>6.1425000000000001</v>
      </c>
      <c r="N25" s="96">
        <v>33</v>
      </c>
      <c r="O25" s="64">
        <v>7000</v>
      </c>
      <c r="P25" s="65">
        <f>Table224578910112345678910111213141516171819202122232425[[#This Row],[PEMBULATAN]]*O25</f>
        <v>231000</v>
      </c>
    </row>
    <row r="26" spans="1:16" ht="26.25" customHeight="1" x14ac:dyDescent="0.2">
      <c r="A26" s="14"/>
      <c r="B26" s="14"/>
      <c r="C26" s="73" t="s">
        <v>496</v>
      </c>
      <c r="D26" s="78" t="s">
        <v>60</v>
      </c>
      <c r="E26" s="13">
        <v>44530</v>
      </c>
      <c r="F26" s="76" t="s">
        <v>214</v>
      </c>
      <c r="G26" s="13">
        <v>44535</v>
      </c>
      <c r="H26" s="77" t="s">
        <v>399</v>
      </c>
      <c r="I26" s="16">
        <v>61</v>
      </c>
      <c r="J26" s="16">
        <v>28</v>
      </c>
      <c r="K26" s="16">
        <v>28</v>
      </c>
      <c r="L26" s="16">
        <v>7</v>
      </c>
      <c r="M26" s="81">
        <v>11.956</v>
      </c>
      <c r="N26" s="96">
        <v>11.956</v>
      </c>
      <c r="O26" s="64">
        <v>7000</v>
      </c>
      <c r="P26" s="65">
        <f>Table224578910112345678910111213141516171819202122232425[[#This Row],[PEMBULATAN]]*O26</f>
        <v>83692</v>
      </c>
    </row>
    <row r="27" spans="1:16" ht="26.25" customHeight="1" x14ac:dyDescent="0.2">
      <c r="A27" s="14"/>
      <c r="B27" s="14"/>
      <c r="C27" s="73" t="s">
        <v>497</v>
      </c>
      <c r="D27" s="78" t="s">
        <v>60</v>
      </c>
      <c r="E27" s="13">
        <v>44530</v>
      </c>
      <c r="F27" s="76" t="s">
        <v>214</v>
      </c>
      <c r="G27" s="13">
        <v>44535</v>
      </c>
      <c r="H27" s="77" t="s">
        <v>399</v>
      </c>
      <c r="I27" s="16">
        <v>80</v>
      </c>
      <c r="J27" s="16">
        <v>51</v>
      </c>
      <c r="K27" s="16">
        <v>41</v>
      </c>
      <c r="L27" s="16">
        <v>20</v>
      </c>
      <c r="M27" s="81">
        <v>41.82</v>
      </c>
      <c r="N27" s="96">
        <v>41.82</v>
      </c>
      <c r="O27" s="64">
        <v>7000</v>
      </c>
      <c r="P27" s="65">
        <f>Table224578910112345678910111213141516171819202122232425[[#This Row],[PEMBULATAN]]*O27</f>
        <v>292740</v>
      </c>
    </row>
    <row r="28" spans="1:16" ht="26.25" customHeight="1" x14ac:dyDescent="0.2">
      <c r="A28" s="14"/>
      <c r="B28" s="14"/>
      <c r="C28" s="73" t="s">
        <v>498</v>
      </c>
      <c r="D28" s="78" t="s">
        <v>60</v>
      </c>
      <c r="E28" s="13">
        <v>44530</v>
      </c>
      <c r="F28" s="76" t="s">
        <v>214</v>
      </c>
      <c r="G28" s="13">
        <v>44535</v>
      </c>
      <c r="H28" s="77" t="s">
        <v>399</v>
      </c>
      <c r="I28" s="16">
        <v>151</v>
      </c>
      <c r="J28" s="16">
        <v>38</v>
      </c>
      <c r="K28" s="16">
        <v>28</v>
      </c>
      <c r="L28" s="16">
        <v>20</v>
      </c>
      <c r="M28" s="81">
        <v>40.165999999999997</v>
      </c>
      <c r="N28" s="96">
        <v>40.165999999999997</v>
      </c>
      <c r="O28" s="64">
        <v>7000</v>
      </c>
      <c r="P28" s="65">
        <f>Table224578910112345678910111213141516171819202122232425[[#This Row],[PEMBULATAN]]*O28</f>
        <v>281162</v>
      </c>
    </row>
    <row r="29" spans="1:16" ht="26.25" customHeight="1" x14ac:dyDescent="0.2">
      <c r="A29" s="14"/>
      <c r="B29" s="14"/>
      <c r="C29" s="73" t="s">
        <v>499</v>
      </c>
      <c r="D29" s="78" t="s">
        <v>60</v>
      </c>
      <c r="E29" s="13">
        <v>44530</v>
      </c>
      <c r="F29" s="76" t="s">
        <v>214</v>
      </c>
      <c r="G29" s="13">
        <v>44535</v>
      </c>
      <c r="H29" s="77" t="s">
        <v>399</v>
      </c>
      <c r="I29" s="16">
        <v>33</v>
      </c>
      <c r="J29" s="16">
        <v>32</v>
      </c>
      <c r="K29" s="16">
        <v>16</v>
      </c>
      <c r="L29" s="16">
        <v>8</v>
      </c>
      <c r="M29" s="81">
        <v>4.2240000000000002</v>
      </c>
      <c r="N29" s="96">
        <v>8</v>
      </c>
      <c r="O29" s="64">
        <v>7000</v>
      </c>
      <c r="P29" s="65">
        <f>Table224578910112345678910111213141516171819202122232425[[#This Row],[PEMBULATAN]]*O29</f>
        <v>56000</v>
      </c>
    </row>
    <row r="30" spans="1:16" ht="26.25" customHeight="1" x14ac:dyDescent="0.2">
      <c r="A30" s="14"/>
      <c r="B30" s="14"/>
      <c r="C30" s="73" t="s">
        <v>500</v>
      </c>
      <c r="D30" s="78" t="s">
        <v>60</v>
      </c>
      <c r="E30" s="13">
        <v>44530</v>
      </c>
      <c r="F30" s="76" t="s">
        <v>214</v>
      </c>
      <c r="G30" s="13">
        <v>44535</v>
      </c>
      <c r="H30" s="77" t="s">
        <v>399</v>
      </c>
      <c r="I30" s="16">
        <v>65</v>
      </c>
      <c r="J30" s="16">
        <v>41</v>
      </c>
      <c r="K30" s="16">
        <v>16</v>
      </c>
      <c r="L30" s="16">
        <v>9</v>
      </c>
      <c r="M30" s="81">
        <v>10.66</v>
      </c>
      <c r="N30" s="96">
        <v>10.66</v>
      </c>
      <c r="O30" s="64">
        <v>7000</v>
      </c>
      <c r="P30" s="65">
        <f>Table224578910112345678910111213141516171819202122232425[[#This Row],[PEMBULATAN]]*O30</f>
        <v>74620</v>
      </c>
    </row>
    <row r="31" spans="1:16" ht="26.25" customHeight="1" x14ac:dyDescent="0.2">
      <c r="A31" s="14"/>
      <c r="B31" s="14"/>
      <c r="C31" s="73" t="s">
        <v>501</v>
      </c>
      <c r="D31" s="78" t="s">
        <v>60</v>
      </c>
      <c r="E31" s="13">
        <v>44530</v>
      </c>
      <c r="F31" s="76" t="s">
        <v>214</v>
      </c>
      <c r="G31" s="13">
        <v>44535</v>
      </c>
      <c r="H31" s="77" t="s">
        <v>399</v>
      </c>
      <c r="I31" s="16">
        <v>65</v>
      </c>
      <c r="J31" s="16">
        <v>90</v>
      </c>
      <c r="K31" s="16">
        <v>13</v>
      </c>
      <c r="L31" s="16">
        <v>5</v>
      </c>
      <c r="M31" s="81">
        <v>19.012499999999999</v>
      </c>
      <c r="N31" s="96">
        <v>19.012499999999999</v>
      </c>
      <c r="O31" s="64">
        <v>7000</v>
      </c>
      <c r="P31" s="65">
        <f>Table224578910112345678910111213141516171819202122232425[[#This Row],[PEMBULATAN]]*O31</f>
        <v>133087.5</v>
      </c>
    </row>
    <row r="32" spans="1:16" ht="26.25" customHeight="1" x14ac:dyDescent="0.2">
      <c r="A32" s="14"/>
      <c r="B32" s="14"/>
      <c r="C32" s="73" t="s">
        <v>502</v>
      </c>
      <c r="D32" s="78" t="s">
        <v>60</v>
      </c>
      <c r="E32" s="13">
        <v>44530</v>
      </c>
      <c r="F32" s="76" t="s">
        <v>214</v>
      </c>
      <c r="G32" s="13">
        <v>44535</v>
      </c>
      <c r="H32" s="77" t="s">
        <v>399</v>
      </c>
      <c r="I32" s="16">
        <v>54</v>
      </c>
      <c r="J32" s="16">
        <v>36</v>
      </c>
      <c r="K32" s="16">
        <v>26</v>
      </c>
      <c r="L32" s="16">
        <v>26</v>
      </c>
      <c r="M32" s="81">
        <v>12.635999999999999</v>
      </c>
      <c r="N32" s="96">
        <v>26</v>
      </c>
      <c r="O32" s="64">
        <v>7000</v>
      </c>
      <c r="P32" s="65">
        <f>Table224578910112345678910111213141516171819202122232425[[#This Row],[PEMBULATAN]]*O32</f>
        <v>182000</v>
      </c>
    </row>
    <row r="33" spans="1:16" ht="26.25" customHeight="1" x14ac:dyDescent="0.2">
      <c r="A33" s="14"/>
      <c r="B33" s="14"/>
      <c r="C33" s="73" t="s">
        <v>503</v>
      </c>
      <c r="D33" s="78" t="s">
        <v>60</v>
      </c>
      <c r="E33" s="13">
        <v>44530</v>
      </c>
      <c r="F33" s="76" t="s">
        <v>214</v>
      </c>
      <c r="G33" s="13">
        <v>44535</v>
      </c>
      <c r="H33" s="77" t="s">
        <v>399</v>
      </c>
      <c r="I33" s="16">
        <v>50</v>
      </c>
      <c r="J33" s="16">
        <v>25</v>
      </c>
      <c r="K33" s="16">
        <v>12</v>
      </c>
      <c r="L33" s="16">
        <v>3</v>
      </c>
      <c r="M33" s="81">
        <v>3.75</v>
      </c>
      <c r="N33" s="96">
        <v>3.75</v>
      </c>
      <c r="O33" s="64">
        <v>7000</v>
      </c>
      <c r="P33" s="65">
        <f>Table224578910112345678910111213141516171819202122232425[[#This Row],[PEMBULATAN]]*O33</f>
        <v>26250</v>
      </c>
    </row>
    <row r="34" spans="1:16" ht="26.25" customHeight="1" x14ac:dyDescent="0.2">
      <c r="A34" s="14"/>
      <c r="B34" s="14"/>
      <c r="C34" s="73" t="s">
        <v>504</v>
      </c>
      <c r="D34" s="78" t="s">
        <v>60</v>
      </c>
      <c r="E34" s="13">
        <v>44530</v>
      </c>
      <c r="F34" s="76" t="s">
        <v>214</v>
      </c>
      <c r="G34" s="13">
        <v>44535</v>
      </c>
      <c r="H34" s="77" t="s">
        <v>399</v>
      </c>
      <c r="I34" s="16">
        <v>46</v>
      </c>
      <c r="J34" s="16">
        <v>46</v>
      </c>
      <c r="K34" s="16">
        <v>28</v>
      </c>
      <c r="L34" s="16">
        <v>12</v>
      </c>
      <c r="M34" s="81">
        <v>14.811999999999999</v>
      </c>
      <c r="N34" s="96">
        <v>14.811999999999999</v>
      </c>
      <c r="O34" s="64">
        <v>7000</v>
      </c>
      <c r="P34" s="65">
        <f>Table224578910112345678910111213141516171819202122232425[[#This Row],[PEMBULATAN]]*O34</f>
        <v>103684</v>
      </c>
    </row>
    <row r="35" spans="1:16" ht="26.25" customHeight="1" x14ac:dyDescent="0.2">
      <c r="A35" s="14"/>
      <c r="B35" s="14"/>
      <c r="C35" s="73" t="s">
        <v>505</v>
      </c>
      <c r="D35" s="78" t="s">
        <v>60</v>
      </c>
      <c r="E35" s="13">
        <v>44530</v>
      </c>
      <c r="F35" s="76" t="s">
        <v>214</v>
      </c>
      <c r="G35" s="13">
        <v>44535</v>
      </c>
      <c r="H35" s="77" t="s">
        <v>399</v>
      </c>
      <c r="I35" s="16">
        <v>205</v>
      </c>
      <c r="J35" s="16">
        <v>25</v>
      </c>
      <c r="K35" s="16">
        <v>25</v>
      </c>
      <c r="L35" s="16">
        <v>24</v>
      </c>
      <c r="M35" s="81">
        <v>32.03125</v>
      </c>
      <c r="N35" s="96">
        <v>32.03125</v>
      </c>
      <c r="O35" s="64">
        <v>7000</v>
      </c>
      <c r="P35" s="65">
        <f>Table224578910112345678910111213141516171819202122232425[[#This Row],[PEMBULATAN]]*O35</f>
        <v>224218.75</v>
      </c>
    </row>
    <row r="36" spans="1:16" ht="26.25" customHeight="1" x14ac:dyDescent="0.2">
      <c r="A36" s="14"/>
      <c r="B36" s="14"/>
      <c r="C36" s="73" t="s">
        <v>506</v>
      </c>
      <c r="D36" s="78" t="s">
        <v>60</v>
      </c>
      <c r="E36" s="13">
        <v>44530</v>
      </c>
      <c r="F36" s="76" t="s">
        <v>214</v>
      </c>
      <c r="G36" s="13">
        <v>44535</v>
      </c>
      <c r="H36" s="77" t="s">
        <v>399</v>
      </c>
      <c r="I36" s="16">
        <v>68</v>
      </c>
      <c r="J36" s="16">
        <v>35</v>
      </c>
      <c r="K36" s="16">
        <v>15</v>
      </c>
      <c r="L36" s="16">
        <v>8</v>
      </c>
      <c r="M36" s="81">
        <v>8.9250000000000007</v>
      </c>
      <c r="N36" s="96">
        <v>8.9250000000000007</v>
      </c>
      <c r="O36" s="64">
        <v>7000</v>
      </c>
      <c r="P36" s="65">
        <f>Table224578910112345678910111213141516171819202122232425[[#This Row],[PEMBULATAN]]*O36</f>
        <v>62475.000000000007</v>
      </c>
    </row>
    <row r="37" spans="1:16" ht="26.25" customHeight="1" x14ac:dyDescent="0.2">
      <c r="A37" s="14"/>
      <c r="B37" s="14"/>
      <c r="C37" s="73" t="s">
        <v>507</v>
      </c>
      <c r="D37" s="78" t="s">
        <v>60</v>
      </c>
      <c r="E37" s="13">
        <v>44530</v>
      </c>
      <c r="F37" s="76" t="s">
        <v>214</v>
      </c>
      <c r="G37" s="13">
        <v>44535</v>
      </c>
      <c r="H37" s="77" t="s">
        <v>399</v>
      </c>
      <c r="I37" s="16">
        <v>61</v>
      </c>
      <c r="J37" s="16">
        <v>33</v>
      </c>
      <c r="K37" s="16">
        <v>22</v>
      </c>
      <c r="L37" s="16">
        <v>6</v>
      </c>
      <c r="M37" s="81">
        <v>11.0715</v>
      </c>
      <c r="N37" s="96">
        <v>11.0715</v>
      </c>
      <c r="O37" s="64">
        <v>7000</v>
      </c>
      <c r="P37" s="65">
        <f>Table224578910112345678910111213141516171819202122232425[[#This Row],[PEMBULATAN]]*O37</f>
        <v>77500.5</v>
      </c>
    </row>
    <row r="38" spans="1:16" ht="26.25" customHeight="1" x14ac:dyDescent="0.2">
      <c r="A38" s="14"/>
      <c r="B38" s="97"/>
      <c r="C38" s="73" t="s">
        <v>508</v>
      </c>
      <c r="D38" s="78" t="s">
        <v>60</v>
      </c>
      <c r="E38" s="13">
        <v>44530</v>
      </c>
      <c r="F38" s="76" t="s">
        <v>214</v>
      </c>
      <c r="G38" s="13">
        <v>44535</v>
      </c>
      <c r="H38" s="77" t="s">
        <v>399</v>
      </c>
      <c r="I38" s="16">
        <v>43</v>
      </c>
      <c r="J38" s="16">
        <v>18</v>
      </c>
      <c r="K38" s="16">
        <v>18</v>
      </c>
      <c r="L38" s="16">
        <v>3</v>
      </c>
      <c r="M38" s="81">
        <v>3.4830000000000001</v>
      </c>
      <c r="N38" s="96">
        <v>4</v>
      </c>
      <c r="O38" s="64">
        <v>7000</v>
      </c>
      <c r="P38" s="65">
        <f>Table224578910112345678910111213141516171819202122232425[[#This Row],[PEMBULATAN]]*O38</f>
        <v>28000</v>
      </c>
    </row>
    <row r="39" spans="1:16" ht="26.25" customHeight="1" x14ac:dyDescent="0.2">
      <c r="A39" s="14"/>
      <c r="B39" s="14" t="s">
        <v>509</v>
      </c>
      <c r="C39" s="73" t="s">
        <v>510</v>
      </c>
      <c r="D39" s="78" t="s">
        <v>60</v>
      </c>
      <c r="E39" s="13">
        <v>44530</v>
      </c>
      <c r="F39" s="76" t="s">
        <v>214</v>
      </c>
      <c r="G39" s="13">
        <v>44535</v>
      </c>
      <c r="H39" s="77" t="s">
        <v>399</v>
      </c>
      <c r="I39" s="16">
        <v>62</v>
      </c>
      <c r="J39" s="16">
        <v>35</v>
      </c>
      <c r="K39" s="16">
        <v>29</v>
      </c>
      <c r="L39" s="16">
        <v>13</v>
      </c>
      <c r="M39" s="81">
        <v>15.7325</v>
      </c>
      <c r="N39" s="96">
        <v>15.7325</v>
      </c>
      <c r="O39" s="64">
        <v>7000</v>
      </c>
      <c r="P39" s="65">
        <f>Table224578910112345678910111213141516171819202122232425[[#This Row],[PEMBULATAN]]*O39</f>
        <v>110127.5</v>
      </c>
    </row>
    <row r="40" spans="1:16" ht="26.25" customHeight="1" x14ac:dyDescent="0.2">
      <c r="A40" s="14"/>
      <c r="B40" s="97"/>
      <c r="C40" s="73" t="s">
        <v>511</v>
      </c>
      <c r="D40" s="78" t="s">
        <v>60</v>
      </c>
      <c r="E40" s="13">
        <v>44530</v>
      </c>
      <c r="F40" s="76" t="s">
        <v>214</v>
      </c>
      <c r="G40" s="13">
        <v>44535</v>
      </c>
      <c r="H40" s="77" t="s">
        <v>399</v>
      </c>
      <c r="I40" s="16">
        <v>36</v>
      </c>
      <c r="J40" s="16">
        <v>20</v>
      </c>
      <c r="K40" s="16">
        <v>13</v>
      </c>
      <c r="L40" s="16">
        <v>5</v>
      </c>
      <c r="M40" s="81">
        <v>2.34</v>
      </c>
      <c r="N40" s="96">
        <v>6</v>
      </c>
      <c r="O40" s="64">
        <v>7000</v>
      </c>
      <c r="P40" s="65">
        <f>Table224578910112345678910111213141516171819202122232425[[#This Row],[PEMBULATAN]]*O40</f>
        <v>42000</v>
      </c>
    </row>
    <row r="41" spans="1:16" ht="26.25" customHeight="1" x14ac:dyDescent="0.2">
      <c r="A41" s="14"/>
      <c r="B41" s="97" t="s">
        <v>512</v>
      </c>
      <c r="C41" s="73" t="s">
        <v>513</v>
      </c>
      <c r="D41" s="78" t="s">
        <v>60</v>
      </c>
      <c r="E41" s="13">
        <v>44530</v>
      </c>
      <c r="F41" s="76" t="s">
        <v>214</v>
      </c>
      <c r="G41" s="13">
        <v>44535</v>
      </c>
      <c r="H41" s="77" t="s">
        <v>399</v>
      </c>
      <c r="I41" s="16">
        <v>43</v>
      </c>
      <c r="J41" s="16">
        <v>56</v>
      </c>
      <c r="K41" s="16">
        <v>71</v>
      </c>
      <c r="L41" s="16">
        <v>15</v>
      </c>
      <c r="M41" s="81">
        <v>42.741999999999997</v>
      </c>
      <c r="N41" s="96">
        <v>42.741999999999997</v>
      </c>
      <c r="O41" s="64">
        <v>7000</v>
      </c>
      <c r="P41" s="65">
        <f>Table224578910112345678910111213141516171819202122232425[[#This Row],[PEMBULATAN]]*O41</f>
        <v>299194</v>
      </c>
    </row>
    <row r="42" spans="1:16" ht="26.25" customHeight="1" x14ac:dyDescent="0.2">
      <c r="A42" s="14"/>
      <c r="B42" s="14" t="s">
        <v>514</v>
      </c>
      <c r="C42" s="73" t="s">
        <v>515</v>
      </c>
      <c r="D42" s="78" t="s">
        <v>60</v>
      </c>
      <c r="E42" s="13">
        <v>44530</v>
      </c>
      <c r="F42" s="76" t="s">
        <v>214</v>
      </c>
      <c r="G42" s="13">
        <v>44535</v>
      </c>
      <c r="H42" s="77" t="s">
        <v>399</v>
      </c>
      <c r="I42" s="16">
        <v>38</v>
      </c>
      <c r="J42" s="16">
        <v>35</v>
      </c>
      <c r="K42" s="16">
        <v>11</v>
      </c>
      <c r="L42" s="16">
        <v>10</v>
      </c>
      <c r="M42" s="81">
        <v>3.6575000000000002</v>
      </c>
      <c r="N42" s="96">
        <v>10</v>
      </c>
      <c r="O42" s="64">
        <v>7000</v>
      </c>
      <c r="P42" s="65">
        <f>Table224578910112345678910111213141516171819202122232425[[#This Row],[PEMBULATAN]]*O42</f>
        <v>70000</v>
      </c>
    </row>
    <row r="43" spans="1:16" ht="26.25" customHeight="1" x14ac:dyDescent="0.2">
      <c r="A43" s="14"/>
      <c r="B43" s="14"/>
      <c r="C43" s="73" t="s">
        <v>516</v>
      </c>
      <c r="D43" s="78" t="s">
        <v>60</v>
      </c>
      <c r="E43" s="13">
        <v>44530</v>
      </c>
      <c r="F43" s="76" t="s">
        <v>214</v>
      </c>
      <c r="G43" s="13">
        <v>44535</v>
      </c>
      <c r="H43" s="77" t="s">
        <v>399</v>
      </c>
      <c r="I43" s="16">
        <v>45</v>
      </c>
      <c r="J43" s="16">
        <v>45</v>
      </c>
      <c r="K43" s="16">
        <v>45</v>
      </c>
      <c r="L43" s="16">
        <v>13</v>
      </c>
      <c r="M43" s="81">
        <v>22.78125</v>
      </c>
      <c r="N43" s="96">
        <v>22.78125</v>
      </c>
      <c r="O43" s="64">
        <v>7000</v>
      </c>
      <c r="P43" s="65">
        <f>Table224578910112345678910111213141516171819202122232425[[#This Row],[PEMBULATAN]]*O43</f>
        <v>159468.75</v>
      </c>
    </row>
    <row r="44" spans="1:16" ht="22.5" customHeight="1" x14ac:dyDescent="0.2">
      <c r="A44" s="117" t="s">
        <v>30</v>
      </c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9"/>
      <c r="M44" s="79">
        <f>SUBTOTAL(109,Table224578910112345678910111213141516171819202122232425[KG VOLUME])</f>
        <v>602.07150000000001</v>
      </c>
      <c r="N44" s="68">
        <f>SUM(N3:N43)</f>
        <v>705.96799999999996</v>
      </c>
      <c r="O44" s="120">
        <f>SUM(P3:P43)</f>
        <v>4941776</v>
      </c>
      <c r="P44" s="121"/>
    </row>
    <row r="45" spans="1:16" ht="18" customHeight="1" x14ac:dyDescent="0.2">
      <c r="A45" s="86"/>
      <c r="B45" s="56" t="s">
        <v>42</v>
      </c>
      <c r="C45" s="55"/>
      <c r="D45" s="57" t="s">
        <v>43</v>
      </c>
      <c r="E45" s="86"/>
      <c r="F45" s="86"/>
      <c r="G45" s="86"/>
      <c r="H45" s="86"/>
      <c r="I45" s="86"/>
      <c r="J45" s="86"/>
      <c r="K45" s="86"/>
      <c r="L45" s="86"/>
      <c r="M45" s="87"/>
      <c r="N45" s="88" t="s">
        <v>52</v>
      </c>
      <c r="O45" s="89"/>
      <c r="P45" s="89">
        <v>0</v>
      </c>
    </row>
    <row r="46" spans="1:16" ht="18" customHeight="1" thickBot="1" x14ac:dyDescent="0.25">
      <c r="A46" s="86"/>
      <c r="B46" s="56"/>
      <c r="C46" s="55"/>
      <c r="D46" s="57"/>
      <c r="E46" s="86"/>
      <c r="F46" s="86"/>
      <c r="G46" s="86"/>
      <c r="H46" s="86"/>
      <c r="I46" s="86"/>
      <c r="J46" s="86"/>
      <c r="K46" s="86"/>
      <c r="L46" s="86"/>
      <c r="M46" s="87"/>
      <c r="N46" s="90" t="s">
        <v>53</v>
      </c>
      <c r="O46" s="91"/>
      <c r="P46" s="91">
        <f>O44-P45</f>
        <v>4941776</v>
      </c>
    </row>
    <row r="47" spans="1:16" ht="18" customHeight="1" x14ac:dyDescent="0.2">
      <c r="A47" s="11"/>
      <c r="H47" s="63"/>
      <c r="N47" s="62" t="s">
        <v>31</v>
      </c>
      <c r="P47" s="69">
        <f>P46*1%</f>
        <v>49417.760000000002</v>
      </c>
    </row>
    <row r="48" spans="1:16" ht="18" customHeight="1" thickBot="1" x14ac:dyDescent="0.25">
      <c r="A48" s="11"/>
      <c r="H48" s="63"/>
      <c r="N48" s="62" t="s">
        <v>54</v>
      </c>
      <c r="P48" s="71">
        <f>P46*2%</f>
        <v>98835.520000000004</v>
      </c>
    </row>
    <row r="49" spans="1:16" ht="18" customHeight="1" x14ac:dyDescent="0.2">
      <c r="A49" s="11"/>
      <c r="H49" s="63"/>
      <c r="N49" s="66" t="s">
        <v>32</v>
      </c>
      <c r="O49" s="67"/>
      <c r="P49" s="70">
        <f>P46+P47-P48</f>
        <v>4892358.24</v>
      </c>
    </row>
    <row r="51" spans="1:16" x14ac:dyDescent="0.2">
      <c r="A51" s="11"/>
      <c r="H51" s="63"/>
      <c r="P51" s="71"/>
    </row>
    <row r="52" spans="1:16" x14ac:dyDescent="0.2">
      <c r="A52" s="11"/>
      <c r="H52" s="63"/>
      <c r="O52" s="58"/>
      <c r="P52" s="71"/>
    </row>
    <row r="53" spans="1:16" s="3" customFormat="1" x14ac:dyDescent="0.25">
      <c r="A53" s="11"/>
      <c r="B53" s="2"/>
      <c r="C53" s="2"/>
      <c r="E53" s="12"/>
      <c r="H53" s="63"/>
      <c r="N53" s="15"/>
      <c r="O53" s="15"/>
      <c r="P53" s="15"/>
    </row>
    <row r="54" spans="1:16" s="3" customFormat="1" x14ac:dyDescent="0.25">
      <c r="A54" s="11"/>
      <c r="B54" s="2"/>
      <c r="C54" s="2"/>
      <c r="E54" s="12"/>
      <c r="H54" s="63"/>
      <c r="N54" s="15"/>
      <c r="O54" s="15"/>
      <c r="P54" s="15"/>
    </row>
    <row r="55" spans="1:16" s="3" customFormat="1" x14ac:dyDescent="0.25">
      <c r="A55" s="11"/>
      <c r="B55" s="2"/>
      <c r="C55" s="2"/>
      <c r="E55" s="12"/>
      <c r="H55" s="63"/>
      <c r="N55" s="15"/>
      <c r="O55" s="15"/>
      <c r="P55" s="15"/>
    </row>
    <row r="56" spans="1:16" s="3" customFormat="1" x14ac:dyDescent="0.25">
      <c r="A56" s="11"/>
      <c r="B56" s="2"/>
      <c r="C56" s="2"/>
      <c r="E56" s="12"/>
      <c r="H56" s="63"/>
      <c r="N56" s="15"/>
      <c r="O56" s="15"/>
      <c r="P56" s="15"/>
    </row>
    <row r="57" spans="1:16" s="3" customFormat="1" x14ac:dyDescent="0.25">
      <c r="A57" s="11"/>
      <c r="B57" s="2"/>
      <c r="C57" s="2"/>
      <c r="E57" s="12"/>
      <c r="H57" s="63"/>
      <c r="N57" s="15"/>
      <c r="O57" s="15"/>
      <c r="P57" s="15"/>
    </row>
    <row r="58" spans="1:16" s="3" customFormat="1" x14ac:dyDescent="0.25">
      <c r="A58" s="11"/>
      <c r="B58" s="2"/>
      <c r="C58" s="2"/>
      <c r="E58" s="12"/>
      <c r="H58" s="63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3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3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3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3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3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63"/>
      <c r="N64" s="15"/>
      <c r="O64" s="15"/>
      <c r="P64" s="15"/>
    </row>
  </sheetData>
  <mergeCells count="2">
    <mergeCell ref="A44:L44"/>
    <mergeCell ref="O44:P44"/>
  </mergeCells>
  <conditionalFormatting sqref="B3">
    <cfRule type="duplicateValues" dxfId="17" priority="2"/>
  </conditionalFormatting>
  <conditionalFormatting sqref="B4">
    <cfRule type="duplicateValues" dxfId="16" priority="1"/>
  </conditionalFormatting>
  <conditionalFormatting sqref="B5:B43">
    <cfRule type="duplicateValues" dxfId="15" priority="2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N44" sqref="N3:N44"/>
    </sheetView>
  </sheetViews>
  <sheetFormatPr defaultRowHeight="15" x14ac:dyDescent="0.2"/>
  <cols>
    <col min="1" max="1" width="8" style="4" customWidth="1"/>
    <col min="2" max="2" width="19.5703125" style="2" customWidth="1"/>
    <col min="3" max="3" width="15" style="2" customWidth="1"/>
    <col min="4" max="4" width="10.28515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403897</v>
      </c>
      <c r="B3" s="74" t="s">
        <v>63</v>
      </c>
      <c r="C3" s="9" t="s">
        <v>64</v>
      </c>
      <c r="D3" s="76" t="s">
        <v>60</v>
      </c>
      <c r="E3" s="13">
        <v>44521</v>
      </c>
      <c r="F3" s="76" t="s">
        <v>61</v>
      </c>
      <c r="G3" s="13">
        <v>44528</v>
      </c>
      <c r="H3" s="10" t="s">
        <v>62</v>
      </c>
      <c r="I3" s="1">
        <v>47</v>
      </c>
      <c r="J3" s="1">
        <v>40</v>
      </c>
      <c r="K3" s="1">
        <v>26</v>
      </c>
      <c r="L3" s="1">
        <v>8</v>
      </c>
      <c r="M3" s="80">
        <v>12.22</v>
      </c>
      <c r="N3" s="96">
        <v>12.22</v>
      </c>
      <c r="O3" s="64">
        <v>7000</v>
      </c>
      <c r="P3" s="65">
        <f>Table2245789101123[[#This Row],[PEMBULATAN]]*O3</f>
        <v>85540</v>
      </c>
    </row>
    <row r="4" spans="1:16" ht="26.25" customHeight="1" x14ac:dyDescent="0.2">
      <c r="A4" s="14"/>
      <c r="B4" s="75"/>
      <c r="C4" s="9" t="s">
        <v>65</v>
      </c>
      <c r="D4" s="76" t="s">
        <v>60</v>
      </c>
      <c r="E4" s="13">
        <v>44521</v>
      </c>
      <c r="F4" s="76" t="s">
        <v>61</v>
      </c>
      <c r="G4" s="13">
        <v>44528</v>
      </c>
      <c r="H4" s="10" t="s">
        <v>62</v>
      </c>
      <c r="I4" s="1">
        <v>57</v>
      </c>
      <c r="J4" s="1">
        <v>57</v>
      </c>
      <c r="K4" s="1">
        <v>27</v>
      </c>
      <c r="L4" s="1">
        <v>10</v>
      </c>
      <c r="M4" s="80">
        <v>21.93075</v>
      </c>
      <c r="N4" s="96">
        <v>21.93075</v>
      </c>
      <c r="O4" s="64">
        <v>7000</v>
      </c>
      <c r="P4" s="65">
        <f>Table2245789101123[[#This Row],[PEMBULATAN]]*O4</f>
        <v>153515.25</v>
      </c>
    </row>
    <row r="5" spans="1:16" ht="26.25" customHeight="1" x14ac:dyDescent="0.2">
      <c r="A5" s="14"/>
      <c r="B5" s="14"/>
      <c r="C5" s="9" t="s">
        <v>66</v>
      </c>
      <c r="D5" s="76" t="s">
        <v>60</v>
      </c>
      <c r="E5" s="13">
        <v>44521</v>
      </c>
      <c r="F5" s="76" t="s">
        <v>61</v>
      </c>
      <c r="G5" s="13">
        <v>44528</v>
      </c>
      <c r="H5" s="10" t="s">
        <v>62</v>
      </c>
      <c r="I5" s="1">
        <v>33</v>
      </c>
      <c r="J5" s="1">
        <v>27</v>
      </c>
      <c r="K5" s="1">
        <v>18</v>
      </c>
      <c r="L5" s="1">
        <v>10</v>
      </c>
      <c r="M5" s="80">
        <v>4.0095000000000001</v>
      </c>
      <c r="N5" s="96">
        <v>10</v>
      </c>
      <c r="O5" s="64">
        <v>7000</v>
      </c>
      <c r="P5" s="65">
        <f>Table2245789101123[[#This Row],[PEMBULATAN]]*O5</f>
        <v>70000</v>
      </c>
    </row>
    <row r="6" spans="1:16" ht="26.25" customHeight="1" x14ac:dyDescent="0.2">
      <c r="A6" s="14"/>
      <c r="B6" s="14"/>
      <c r="C6" s="73" t="s">
        <v>67</v>
      </c>
      <c r="D6" s="78" t="s">
        <v>60</v>
      </c>
      <c r="E6" s="13">
        <v>44521</v>
      </c>
      <c r="F6" s="76" t="s">
        <v>61</v>
      </c>
      <c r="G6" s="13">
        <v>44528</v>
      </c>
      <c r="H6" s="77" t="s">
        <v>62</v>
      </c>
      <c r="I6" s="16">
        <v>40</v>
      </c>
      <c r="J6" s="16">
        <v>24</v>
      </c>
      <c r="K6" s="16">
        <v>25</v>
      </c>
      <c r="L6" s="16">
        <v>10</v>
      </c>
      <c r="M6" s="81">
        <v>6</v>
      </c>
      <c r="N6" s="96">
        <v>10</v>
      </c>
      <c r="O6" s="64">
        <v>7000</v>
      </c>
      <c r="P6" s="65">
        <f>Table2245789101123[[#This Row],[PEMBULATAN]]*O6</f>
        <v>70000</v>
      </c>
    </row>
    <row r="7" spans="1:16" ht="26.25" customHeight="1" x14ac:dyDescent="0.2">
      <c r="A7" s="14"/>
      <c r="B7" s="14"/>
      <c r="C7" s="73" t="s">
        <v>68</v>
      </c>
      <c r="D7" s="78" t="s">
        <v>60</v>
      </c>
      <c r="E7" s="13">
        <v>44521</v>
      </c>
      <c r="F7" s="76" t="s">
        <v>61</v>
      </c>
      <c r="G7" s="13">
        <v>44528</v>
      </c>
      <c r="H7" s="77" t="s">
        <v>62</v>
      </c>
      <c r="I7" s="16">
        <v>33</v>
      </c>
      <c r="J7" s="16">
        <v>33</v>
      </c>
      <c r="K7" s="16">
        <v>22</v>
      </c>
      <c r="L7" s="16">
        <v>8</v>
      </c>
      <c r="M7" s="81">
        <v>5.9894999999999996</v>
      </c>
      <c r="N7" s="96">
        <v>8</v>
      </c>
      <c r="O7" s="64">
        <v>7000</v>
      </c>
      <c r="P7" s="65">
        <f>Table2245789101123[[#This Row],[PEMBULATAN]]*O7</f>
        <v>56000</v>
      </c>
    </row>
    <row r="8" spans="1:16" ht="26.25" customHeight="1" x14ac:dyDescent="0.2">
      <c r="A8" s="14"/>
      <c r="B8" s="14"/>
      <c r="C8" s="73" t="s">
        <v>69</v>
      </c>
      <c r="D8" s="78" t="s">
        <v>60</v>
      </c>
      <c r="E8" s="13">
        <v>44521</v>
      </c>
      <c r="F8" s="76" t="s">
        <v>61</v>
      </c>
      <c r="G8" s="13">
        <v>44528</v>
      </c>
      <c r="H8" s="77" t="s">
        <v>62</v>
      </c>
      <c r="I8" s="16">
        <v>30</v>
      </c>
      <c r="J8" s="16">
        <v>18</v>
      </c>
      <c r="K8" s="16">
        <v>18</v>
      </c>
      <c r="L8" s="16">
        <v>9</v>
      </c>
      <c r="M8" s="81">
        <v>2.4300000000000002</v>
      </c>
      <c r="N8" s="96">
        <v>10</v>
      </c>
      <c r="O8" s="64">
        <v>7000</v>
      </c>
      <c r="P8" s="65">
        <f>Table2245789101123[[#This Row],[PEMBULATAN]]*O8</f>
        <v>70000</v>
      </c>
    </row>
    <row r="9" spans="1:16" ht="26.25" customHeight="1" x14ac:dyDescent="0.2">
      <c r="A9" s="14"/>
      <c r="B9" s="14"/>
      <c r="C9" s="73" t="s">
        <v>70</v>
      </c>
      <c r="D9" s="78" t="s">
        <v>60</v>
      </c>
      <c r="E9" s="13">
        <v>44521</v>
      </c>
      <c r="F9" s="76" t="s">
        <v>61</v>
      </c>
      <c r="G9" s="13">
        <v>44528</v>
      </c>
      <c r="H9" s="77" t="s">
        <v>62</v>
      </c>
      <c r="I9" s="16">
        <v>55</v>
      </c>
      <c r="J9" s="16">
        <v>34</v>
      </c>
      <c r="K9" s="16">
        <v>24</v>
      </c>
      <c r="L9" s="16">
        <v>8</v>
      </c>
      <c r="M9" s="81">
        <v>11.22</v>
      </c>
      <c r="N9" s="96">
        <v>11.22</v>
      </c>
      <c r="O9" s="64">
        <v>7000</v>
      </c>
      <c r="P9" s="65">
        <f>Table2245789101123[[#This Row],[PEMBULATAN]]*O9</f>
        <v>78540</v>
      </c>
    </row>
    <row r="10" spans="1:16" ht="26.25" customHeight="1" x14ac:dyDescent="0.2">
      <c r="A10" s="14"/>
      <c r="B10" s="14"/>
      <c r="C10" s="73" t="s">
        <v>71</v>
      </c>
      <c r="D10" s="78" t="s">
        <v>60</v>
      </c>
      <c r="E10" s="13">
        <v>44521</v>
      </c>
      <c r="F10" s="76" t="s">
        <v>61</v>
      </c>
      <c r="G10" s="13">
        <v>44528</v>
      </c>
      <c r="H10" s="77" t="s">
        <v>62</v>
      </c>
      <c r="I10" s="16">
        <v>116</v>
      </c>
      <c r="J10" s="16">
        <v>68</v>
      </c>
      <c r="K10" s="16">
        <v>37</v>
      </c>
      <c r="L10" s="16">
        <v>45</v>
      </c>
      <c r="M10" s="81">
        <v>72.963999999999999</v>
      </c>
      <c r="N10" s="96">
        <v>72.963999999999999</v>
      </c>
      <c r="O10" s="64">
        <v>7000</v>
      </c>
      <c r="P10" s="65">
        <f>Table2245789101123[[#This Row],[PEMBULATAN]]*O10</f>
        <v>510748</v>
      </c>
    </row>
    <row r="11" spans="1:16" ht="26.25" customHeight="1" x14ac:dyDescent="0.2">
      <c r="A11" s="14"/>
      <c r="B11" s="14"/>
      <c r="C11" s="73" t="s">
        <v>72</v>
      </c>
      <c r="D11" s="78" t="s">
        <v>60</v>
      </c>
      <c r="E11" s="13">
        <v>44521</v>
      </c>
      <c r="F11" s="76" t="s">
        <v>61</v>
      </c>
      <c r="G11" s="13">
        <v>44528</v>
      </c>
      <c r="H11" s="77" t="s">
        <v>62</v>
      </c>
      <c r="I11" s="16">
        <v>274</v>
      </c>
      <c r="J11" s="16">
        <v>15</v>
      </c>
      <c r="K11" s="16">
        <v>10</v>
      </c>
      <c r="L11" s="16">
        <v>14</v>
      </c>
      <c r="M11" s="81">
        <v>10.275</v>
      </c>
      <c r="N11" s="96">
        <v>14</v>
      </c>
      <c r="O11" s="64">
        <v>7000</v>
      </c>
      <c r="P11" s="65">
        <f>Table2245789101123[[#This Row],[PEMBULATAN]]*O11</f>
        <v>98000</v>
      </c>
    </row>
    <row r="12" spans="1:16" ht="26.25" customHeight="1" x14ac:dyDescent="0.2">
      <c r="A12" s="14"/>
      <c r="B12" s="14"/>
      <c r="C12" s="73" t="s">
        <v>73</v>
      </c>
      <c r="D12" s="78" t="s">
        <v>60</v>
      </c>
      <c r="E12" s="13">
        <v>44521</v>
      </c>
      <c r="F12" s="76" t="s">
        <v>61</v>
      </c>
      <c r="G12" s="13">
        <v>44528</v>
      </c>
      <c r="H12" s="77" t="s">
        <v>62</v>
      </c>
      <c r="I12" s="16">
        <v>50</v>
      </c>
      <c r="J12" s="16">
        <v>36</v>
      </c>
      <c r="K12" s="16">
        <v>36</v>
      </c>
      <c r="L12" s="16">
        <v>9</v>
      </c>
      <c r="M12" s="81">
        <v>16.2</v>
      </c>
      <c r="N12" s="96">
        <v>16.2</v>
      </c>
      <c r="O12" s="64">
        <v>7000</v>
      </c>
      <c r="P12" s="65">
        <f>Table2245789101123[[#This Row],[PEMBULATAN]]*O12</f>
        <v>113400</v>
      </c>
    </row>
    <row r="13" spans="1:16" ht="26.25" customHeight="1" x14ac:dyDescent="0.2">
      <c r="A13" s="14"/>
      <c r="B13" s="14"/>
      <c r="C13" s="73" t="s">
        <v>74</v>
      </c>
      <c r="D13" s="78" t="s">
        <v>60</v>
      </c>
      <c r="E13" s="13">
        <v>44521</v>
      </c>
      <c r="F13" s="76" t="s">
        <v>61</v>
      </c>
      <c r="G13" s="13">
        <v>44528</v>
      </c>
      <c r="H13" s="77" t="s">
        <v>62</v>
      </c>
      <c r="I13" s="16">
        <v>40</v>
      </c>
      <c r="J13" s="16">
        <v>24</v>
      </c>
      <c r="K13" s="16">
        <v>38</v>
      </c>
      <c r="L13" s="16">
        <v>10</v>
      </c>
      <c r="M13" s="81">
        <v>9.1199999999999992</v>
      </c>
      <c r="N13" s="96">
        <v>10</v>
      </c>
      <c r="O13" s="64">
        <v>7000</v>
      </c>
      <c r="P13" s="65">
        <f>Table2245789101123[[#This Row],[PEMBULATAN]]*O13</f>
        <v>70000</v>
      </c>
    </row>
    <row r="14" spans="1:16" ht="26.25" customHeight="1" x14ac:dyDescent="0.2">
      <c r="A14" s="14"/>
      <c r="B14" s="14"/>
      <c r="C14" s="73" t="s">
        <v>75</v>
      </c>
      <c r="D14" s="78" t="s">
        <v>60</v>
      </c>
      <c r="E14" s="13">
        <v>44521</v>
      </c>
      <c r="F14" s="76" t="s">
        <v>61</v>
      </c>
      <c r="G14" s="13">
        <v>44528</v>
      </c>
      <c r="H14" s="77" t="s">
        <v>62</v>
      </c>
      <c r="I14" s="16">
        <v>47</v>
      </c>
      <c r="J14" s="16">
        <v>40</v>
      </c>
      <c r="K14" s="16">
        <v>45</v>
      </c>
      <c r="L14" s="16">
        <v>12</v>
      </c>
      <c r="M14" s="81">
        <v>21.15</v>
      </c>
      <c r="N14" s="96">
        <v>21.15</v>
      </c>
      <c r="O14" s="64">
        <v>7000</v>
      </c>
      <c r="P14" s="65">
        <f>Table2245789101123[[#This Row],[PEMBULATAN]]*O14</f>
        <v>148050</v>
      </c>
    </row>
    <row r="15" spans="1:16" ht="26.25" customHeight="1" x14ac:dyDescent="0.2">
      <c r="A15" s="14"/>
      <c r="B15" s="14"/>
      <c r="C15" s="73" t="s">
        <v>76</v>
      </c>
      <c r="D15" s="78" t="s">
        <v>60</v>
      </c>
      <c r="E15" s="13">
        <v>44521</v>
      </c>
      <c r="F15" s="76" t="s">
        <v>61</v>
      </c>
      <c r="G15" s="13">
        <v>44528</v>
      </c>
      <c r="H15" s="77" t="s">
        <v>62</v>
      </c>
      <c r="I15" s="16">
        <v>45</v>
      </c>
      <c r="J15" s="16">
        <v>40</v>
      </c>
      <c r="K15" s="16">
        <v>40</v>
      </c>
      <c r="L15" s="16">
        <v>20</v>
      </c>
      <c r="M15" s="81">
        <v>18</v>
      </c>
      <c r="N15" s="96">
        <v>20</v>
      </c>
      <c r="O15" s="64">
        <v>7000</v>
      </c>
      <c r="P15" s="65">
        <f>Table2245789101123[[#This Row],[PEMBULATAN]]*O15</f>
        <v>140000</v>
      </c>
    </row>
    <row r="16" spans="1:16" ht="26.25" customHeight="1" x14ac:dyDescent="0.2">
      <c r="A16" s="14"/>
      <c r="B16" s="14"/>
      <c r="C16" s="73" t="s">
        <v>77</v>
      </c>
      <c r="D16" s="78" t="s">
        <v>60</v>
      </c>
      <c r="E16" s="13">
        <v>44521</v>
      </c>
      <c r="F16" s="76" t="s">
        <v>61</v>
      </c>
      <c r="G16" s="13">
        <v>44528</v>
      </c>
      <c r="H16" s="77" t="s">
        <v>62</v>
      </c>
      <c r="I16" s="16">
        <v>107</v>
      </c>
      <c r="J16" s="16">
        <v>44</v>
      </c>
      <c r="K16" s="16">
        <v>27</v>
      </c>
      <c r="L16" s="16">
        <v>17</v>
      </c>
      <c r="M16" s="81">
        <v>31.779</v>
      </c>
      <c r="N16" s="96">
        <v>31.779</v>
      </c>
      <c r="O16" s="64">
        <v>7000</v>
      </c>
      <c r="P16" s="65">
        <f>Table2245789101123[[#This Row],[PEMBULATAN]]*O16</f>
        <v>222453</v>
      </c>
    </row>
    <row r="17" spans="1:16" ht="26.25" customHeight="1" x14ac:dyDescent="0.2">
      <c r="A17" s="14"/>
      <c r="B17" s="14"/>
      <c r="C17" s="73" t="s">
        <v>78</v>
      </c>
      <c r="D17" s="78" t="s">
        <v>60</v>
      </c>
      <c r="E17" s="13">
        <v>44521</v>
      </c>
      <c r="F17" s="76" t="s">
        <v>61</v>
      </c>
      <c r="G17" s="13">
        <v>44528</v>
      </c>
      <c r="H17" s="77" t="s">
        <v>62</v>
      </c>
      <c r="I17" s="16">
        <v>62</v>
      </c>
      <c r="J17" s="16">
        <v>44</v>
      </c>
      <c r="K17" s="16">
        <v>45</v>
      </c>
      <c r="L17" s="16">
        <v>14</v>
      </c>
      <c r="M17" s="81">
        <v>30.69</v>
      </c>
      <c r="N17" s="96">
        <v>30.69</v>
      </c>
      <c r="O17" s="64">
        <v>7000</v>
      </c>
      <c r="P17" s="65">
        <f>Table2245789101123[[#This Row],[PEMBULATAN]]*O17</f>
        <v>214830</v>
      </c>
    </row>
    <row r="18" spans="1:16" ht="26.25" customHeight="1" x14ac:dyDescent="0.2">
      <c r="A18" s="14"/>
      <c r="B18" s="14"/>
      <c r="C18" s="73" t="s">
        <v>79</v>
      </c>
      <c r="D18" s="78" t="s">
        <v>60</v>
      </c>
      <c r="E18" s="13">
        <v>44521</v>
      </c>
      <c r="F18" s="76" t="s">
        <v>61</v>
      </c>
      <c r="G18" s="13">
        <v>44528</v>
      </c>
      <c r="H18" s="77" t="s">
        <v>62</v>
      </c>
      <c r="I18" s="16">
        <v>37</v>
      </c>
      <c r="J18" s="16">
        <v>30</v>
      </c>
      <c r="K18" s="16">
        <v>30</v>
      </c>
      <c r="L18" s="16">
        <v>7</v>
      </c>
      <c r="M18" s="81">
        <v>8.3249999999999993</v>
      </c>
      <c r="N18" s="96">
        <v>9</v>
      </c>
      <c r="O18" s="64">
        <v>7000</v>
      </c>
      <c r="P18" s="65">
        <f>Table2245789101123[[#This Row],[PEMBULATAN]]*O18</f>
        <v>63000</v>
      </c>
    </row>
    <row r="19" spans="1:16" ht="26.25" customHeight="1" x14ac:dyDescent="0.2">
      <c r="A19" s="14"/>
      <c r="B19" s="14"/>
      <c r="C19" s="73" t="s">
        <v>80</v>
      </c>
      <c r="D19" s="78" t="s">
        <v>60</v>
      </c>
      <c r="E19" s="13">
        <v>44521</v>
      </c>
      <c r="F19" s="76" t="s">
        <v>61</v>
      </c>
      <c r="G19" s="13">
        <v>44528</v>
      </c>
      <c r="H19" s="77" t="s">
        <v>62</v>
      </c>
      <c r="I19" s="16">
        <v>37</v>
      </c>
      <c r="J19" s="16">
        <v>26</v>
      </c>
      <c r="K19" s="16">
        <v>37</v>
      </c>
      <c r="L19" s="16">
        <v>17</v>
      </c>
      <c r="M19" s="81">
        <v>8.8985000000000003</v>
      </c>
      <c r="N19" s="96">
        <v>17</v>
      </c>
      <c r="O19" s="64">
        <v>7000</v>
      </c>
      <c r="P19" s="65">
        <f>Table2245789101123[[#This Row],[PEMBULATAN]]*O19</f>
        <v>119000</v>
      </c>
    </row>
    <row r="20" spans="1:16" ht="26.25" customHeight="1" x14ac:dyDescent="0.2">
      <c r="A20" s="14"/>
      <c r="B20" s="14"/>
      <c r="C20" s="73" t="s">
        <v>81</v>
      </c>
      <c r="D20" s="78" t="s">
        <v>60</v>
      </c>
      <c r="E20" s="13">
        <v>44521</v>
      </c>
      <c r="F20" s="76" t="s">
        <v>61</v>
      </c>
      <c r="G20" s="13">
        <v>44528</v>
      </c>
      <c r="H20" s="77" t="s">
        <v>62</v>
      </c>
      <c r="I20" s="16">
        <v>62</v>
      </c>
      <c r="J20" s="16">
        <v>34</v>
      </c>
      <c r="K20" s="16">
        <v>40</v>
      </c>
      <c r="L20" s="16">
        <v>8</v>
      </c>
      <c r="M20" s="81">
        <v>21.08</v>
      </c>
      <c r="N20" s="96">
        <v>21.08</v>
      </c>
      <c r="O20" s="64">
        <v>7000</v>
      </c>
      <c r="P20" s="65">
        <f>Table2245789101123[[#This Row],[PEMBULATAN]]*O20</f>
        <v>147560</v>
      </c>
    </row>
    <row r="21" spans="1:16" ht="26.25" customHeight="1" x14ac:dyDescent="0.2">
      <c r="A21" s="14"/>
      <c r="B21" s="14"/>
      <c r="C21" s="73" t="s">
        <v>82</v>
      </c>
      <c r="D21" s="78" t="s">
        <v>60</v>
      </c>
      <c r="E21" s="13">
        <v>44521</v>
      </c>
      <c r="F21" s="76" t="s">
        <v>61</v>
      </c>
      <c r="G21" s="13">
        <v>44528</v>
      </c>
      <c r="H21" s="77" t="s">
        <v>62</v>
      </c>
      <c r="I21" s="16">
        <v>72</v>
      </c>
      <c r="J21" s="16">
        <v>23</v>
      </c>
      <c r="K21" s="16">
        <v>14</v>
      </c>
      <c r="L21" s="16">
        <v>5</v>
      </c>
      <c r="M21" s="81">
        <v>5.7960000000000003</v>
      </c>
      <c r="N21" s="96">
        <v>5.7960000000000003</v>
      </c>
      <c r="O21" s="64">
        <v>7000</v>
      </c>
      <c r="P21" s="65">
        <f>Table2245789101123[[#This Row],[PEMBULATAN]]*O21</f>
        <v>40572</v>
      </c>
    </row>
    <row r="22" spans="1:16" ht="26.25" customHeight="1" x14ac:dyDescent="0.2">
      <c r="A22" s="14"/>
      <c r="B22" s="14"/>
      <c r="C22" s="73" t="s">
        <v>83</v>
      </c>
      <c r="D22" s="78" t="s">
        <v>60</v>
      </c>
      <c r="E22" s="13">
        <v>44521</v>
      </c>
      <c r="F22" s="76" t="s">
        <v>61</v>
      </c>
      <c r="G22" s="13">
        <v>44528</v>
      </c>
      <c r="H22" s="77" t="s">
        <v>62</v>
      </c>
      <c r="I22" s="16">
        <v>127</v>
      </c>
      <c r="J22" s="16">
        <v>56</v>
      </c>
      <c r="K22" s="16">
        <v>20</v>
      </c>
      <c r="L22" s="16">
        <v>10</v>
      </c>
      <c r="M22" s="81">
        <v>35.56</v>
      </c>
      <c r="N22" s="96">
        <v>35.56</v>
      </c>
      <c r="O22" s="64">
        <v>7000</v>
      </c>
      <c r="P22" s="65">
        <f>Table2245789101123[[#This Row],[PEMBULATAN]]*O22</f>
        <v>248920.00000000003</v>
      </c>
    </row>
    <row r="23" spans="1:16" ht="26.25" customHeight="1" x14ac:dyDescent="0.2">
      <c r="A23" s="14"/>
      <c r="B23" s="14"/>
      <c r="C23" s="73" t="s">
        <v>84</v>
      </c>
      <c r="D23" s="78" t="s">
        <v>60</v>
      </c>
      <c r="E23" s="13">
        <v>44521</v>
      </c>
      <c r="F23" s="76" t="s">
        <v>61</v>
      </c>
      <c r="G23" s="13">
        <v>44528</v>
      </c>
      <c r="H23" s="77" t="s">
        <v>62</v>
      </c>
      <c r="I23" s="16">
        <v>66</v>
      </c>
      <c r="J23" s="16">
        <v>47</v>
      </c>
      <c r="K23" s="16">
        <v>27</v>
      </c>
      <c r="L23" s="16">
        <v>7</v>
      </c>
      <c r="M23" s="81">
        <v>20.938500000000001</v>
      </c>
      <c r="N23" s="96">
        <v>20.938500000000001</v>
      </c>
      <c r="O23" s="64">
        <v>7000</v>
      </c>
      <c r="P23" s="65">
        <f>Table2245789101123[[#This Row],[PEMBULATAN]]*O23</f>
        <v>146569.5</v>
      </c>
    </row>
    <row r="24" spans="1:16" ht="26.25" customHeight="1" x14ac:dyDescent="0.2">
      <c r="A24" s="14"/>
      <c r="B24" s="14"/>
      <c r="C24" s="73" t="s">
        <v>85</v>
      </c>
      <c r="D24" s="78" t="s">
        <v>60</v>
      </c>
      <c r="E24" s="13">
        <v>44521</v>
      </c>
      <c r="F24" s="76" t="s">
        <v>61</v>
      </c>
      <c r="G24" s="13">
        <v>44528</v>
      </c>
      <c r="H24" s="77" t="s">
        <v>62</v>
      </c>
      <c r="I24" s="16">
        <v>80</v>
      </c>
      <c r="J24" s="16">
        <v>61</v>
      </c>
      <c r="K24" s="16">
        <v>15</v>
      </c>
      <c r="L24" s="16">
        <v>10</v>
      </c>
      <c r="M24" s="81">
        <v>18.3</v>
      </c>
      <c r="N24" s="96">
        <v>19</v>
      </c>
      <c r="O24" s="64">
        <v>7000</v>
      </c>
      <c r="P24" s="65">
        <f>Table2245789101123[[#This Row],[PEMBULATAN]]*O24</f>
        <v>133000</v>
      </c>
    </row>
    <row r="25" spans="1:16" ht="26.25" customHeight="1" x14ac:dyDescent="0.2">
      <c r="A25" s="14"/>
      <c r="B25" s="14"/>
      <c r="C25" s="73" t="s">
        <v>86</v>
      </c>
      <c r="D25" s="78" t="s">
        <v>60</v>
      </c>
      <c r="E25" s="13">
        <v>44521</v>
      </c>
      <c r="F25" s="76" t="s">
        <v>61</v>
      </c>
      <c r="G25" s="13">
        <v>44528</v>
      </c>
      <c r="H25" s="77" t="s">
        <v>62</v>
      </c>
      <c r="I25" s="16">
        <v>86</v>
      </c>
      <c r="J25" s="16">
        <v>40</v>
      </c>
      <c r="K25" s="16">
        <v>35</v>
      </c>
      <c r="L25" s="16">
        <v>19</v>
      </c>
      <c r="M25" s="81">
        <v>30.1</v>
      </c>
      <c r="N25" s="96">
        <v>30.1</v>
      </c>
      <c r="O25" s="64">
        <v>7000</v>
      </c>
      <c r="P25" s="65">
        <f>Table2245789101123[[#This Row],[PEMBULATAN]]*O25</f>
        <v>210700</v>
      </c>
    </row>
    <row r="26" spans="1:16" ht="26.25" customHeight="1" x14ac:dyDescent="0.2">
      <c r="A26" s="14"/>
      <c r="B26" s="14"/>
      <c r="C26" s="73" t="s">
        <v>87</v>
      </c>
      <c r="D26" s="78" t="s">
        <v>60</v>
      </c>
      <c r="E26" s="13">
        <v>44521</v>
      </c>
      <c r="F26" s="76" t="s">
        <v>61</v>
      </c>
      <c r="G26" s="13">
        <v>44528</v>
      </c>
      <c r="H26" s="77" t="s">
        <v>62</v>
      </c>
      <c r="I26" s="16">
        <v>49</v>
      </c>
      <c r="J26" s="16">
        <v>45</v>
      </c>
      <c r="K26" s="16">
        <v>30</v>
      </c>
      <c r="L26" s="16">
        <v>7</v>
      </c>
      <c r="M26" s="81">
        <v>16.537500000000001</v>
      </c>
      <c r="N26" s="96">
        <v>16.537500000000001</v>
      </c>
      <c r="O26" s="64">
        <v>7000</v>
      </c>
      <c r="P26" s="65">
        <f>Table2245789101123[[#This Row],[PEMBULATAN]]*O26</f>
        <v>115762.50000000001</v>
      </c>
    </row>
    <row r="27" spans="1:16" ht="26.25" customHeight="1" x14ac:dyDescent="0.2">
      <c r="A27" s="14"/>
      <c r="B27" s="14"/>
      <c r="C27" s="73" t="s">
        <v>88</v>
      </c>
      <c r="D27" s="78" t="s">
        <v>60</v>
      </c>
      <c r="E27" s="13">
        <v>44521</v>
      </c>
      <c r="F27" s="76" t="s">
        <v>61</v>
      </c>
      <c r="G27" s="13">
        <v>44528</v>
      </c>
      <c r="H27" s="77" t="s">
        <v>62</v>
      </c>
      <c r="I27" s="16">
        <v>35</v>
      </c>
      <c r="J27" s="16">
        <v>35</v>
      </c>
      <c r="K27" s="16">
        <v>40</v>
      </c>
      <c r="L27" s="16">
        <v>5</v>
      </c>
      <c r="M27" s="81">
        <v>12.25</v>
      </c>
      <c r="N27" s="96">
        <v>12.25</v>
      </c>
      <c r="O27" s="64">
        <v>7000</v>
      </c>
      <c r="P27" s="65">
        <f>Table2245789101123[[#This Row],[PEMBULATAN]]*O27</f>
        <v>85750</v>
      </c>
    </row>
    <row r="28" spans="1:16" ht="26.25" customHeight="1" x14ac:dyDescent="0.2">
      <c r="A28" s="14"/>
      <c r="B28" s="14"/>
      <c r="C28" s="73" t="s">
        <v>89</v>
      </c>
      <c r="D28" s="78" t="s">
        <v>60</v>
      </c>
      <c r="E28" s="13">
        <v>44521</v>
      </c>
      <c r="F28" s="76" t="s">
        <v>61</v>
      </c>
      <c r="G28" s="13">
        <v>44528</v>
      </c>
      <c r="H28" s="77" t="s">
        <v>62</v>
      </c>
      <c r="I28" s="16">
        <v>67</v>
      </c>
      <c r="J28" s="16">
        <v>40</v>
      </c>
      <c r="K28" s="16">
        <v>20</v>
      </c>
      <c r="L28" s="16">
        <v>7</v>
      </c>
      <c r="M28" s="81">
        <v>13.4</v>
      </c>
      <c r="N28" s="96">
        <v>14</v>
      </c>
      <c r="O28" s="64">
        <v>7000</v>
      </c>
      <c r="P28" s="65">
        <f>Table2245789101123[[#This Row],[PEMBULATAN]]*O28</f>
        <v>98000</v>
      </c>
    </row>
    <row r="29" spans="1:16" ht="26.25" customHeight="1" x14ac:dyDescent="0.2">
      <c r="A29" s="14"/>
      <c r="B29" s="14"/>
      <c r="C29" s="73" t="s">
        <v>90</v>
      </c>
      <c r="D29" s="78" t="s">
        <v>60</v>
      </c>
      <c r="E29" s="13">
        <v>44521</v>
      </c>
      <c r="F29" s="76" t="s">
        <v>61</v>
      </c>
      <c r="G29" s="13">
        <v>44528</v>
      </c>
      <c r="H29" s="77" t="s">
        <v>62</v>
      </c>
      <c r="I29" s="16">
        <v>58</v>
      </c>
      <c r="J29" s="16">
        <v>27</v>
      </c>
      <c r="K29" s="16">
        <v>10</v>
      </c>
      <c r="L29" s="16">
        <v>4</v>
      </c>
      <c r="M29" s="81">
        <v>3.915</v>
      </c>
      <c r="N29" s="96">
        <v>4</v>
      </c>
      <c r="O29" s="64">
        <v>7000</v>
      </c>
      <c r="P29" s="65">
        <f>Table2245789101123[[#This Row],[PEMBULATAN]]*O29</f>
        <v>28000</v>
      </c>
    </row>
    <row r="30" spans="1:16" ht="26.25" customHeight="1" x14ac:dyDescent="0.2">
      <c r="A30" s="14"/>
      <c r="B30" s="14"/>
      <c r="C30" s="73" t="s">
        <v>91</v>
      </c>
      <c r="D30" s="78" t="s">
        <v>60</v>
      </c>
      <c r="E30" s="13">
        <v>44521</v>
      </c>
      <c r="F30" s="76" t="s">
        <v>61</v>
      </c>
      <c r="G30" s="13">
        <v>44528</v>
      </c>
      <c r="H30" s="77" t="s">
        <v>62</v>
      </c>
      <c r="I30" s="16">
        <v>35</v>
      </c>
      <c r="J30" s="16">
        <v>22</v>
      </c>
      <c r="K30" s="16">
        <v>20</v>
      </c>
      <c r="L30" s="16">
        <v>12</v>
      </c>
      <c r="M30" s="81">
        <v>3.85</v>
      </c>
      <c r="N30" s="96">
        <v>12</v>
      </c>
      <c r="O30" s="64">
        <v>7000</v>
      </c>
      <c r="P30" s="65">
        <f>Table2245789101123[[#This Row],[PEMBULATAN]]*O30</f>
        <v>84000</v>
      </c>
    </row>
    <row r="31" spans="1:16" ht="26.25" customHeight="1" x14ac:dyDescent="0.2">
      <c r="A31" s="14"/>
      <c r="B31" s="14"/>
      <c r="C31" s="73" t="s">
        <v>92</v>
      </c>
      <c r="D31" s="78" t="s">
        <v>60</v>
      </c>
      <c r="E31" s="13">
        <v>44521</v>
      </c>
      <c r="F31" s="76" t="s">
        <v>61</v>
      </c>
      <c r="G31" s="13">
        <v>44528</v>
      </c>
      <c r="H31" s="77" t="s">
        <v>62</v>
      </c>
      <c r="I31" s="16">
        <v>62</v>
      </c>
      <c r="J31" s="16">
        <v>35</v>
      </c>
      <c r="K31" s="16">
        <v>20</v>
      </c>
      <c r="L31" s="16">
        <v>10</v>
      </c>
      <c r="M31" s="81">
        <v>10.85</v>
      </c>
      <c r="N31" s="96">
        <v>10.85</v>
      </c>
      <c r="O31" s="64">
        <v>7000</v>
      </c>
      <c r="P31" s="65">
        <f>Table2245789101123[[#This Row],[PEMBULATAN]]*O31</f>
        <v>75950</v>
      </c>
    </row>
    <row r="32" spans="1:16" ht="26.25" customHeight="1" x14ac:dyDescent="0.2">
      <c r="A32" s="14"/>
      <c r="B32" s="97"/>
      <c r="C32" s="73" t="s">
        <v>93</v>
      </c>
      <c r="D32" s="78" t="s">
        <v>60</v>
      </c>
      <c r="E32" s="13">
        <v>44521</v>
      </c>
      <c r="F32" s="76" t="s">
        <v>61</v>
      </c>
      <c r="G32" s="13">
        <v>44528</v>
      </c>
      <c r="H32" s="77" t="s">
        <v>62</v>
      </c>
      <c r="I32" s="16">
        <v>80</v>
      </c>
      <c r="J32" s="16">
        <v>30</v>
      </c>
      <c r="K32" s="16">
        <v>30</v>
      </c>
      <c r="L32" s="16">
        <v>16</v>
      </c>
      <c r="M32" s="81">
        <v>18</v>
      </c>
      <c r="N32" s="96">
        <v>18</v>
      </c>
      <c r="O32" s="64">
        <v>7000</v>
      </c>
      <c r="P32" s="65">
        <f>Table2245789101123[[#This Row],[PEMBULATAN]]*O32</f>
        <v>126000</v>
      </c>
    </row>
    <row r="33" spans="1:16" ht="26.25" customHeight="1" x14ac:dyDescent="0.2">
      <c r="A33" s="14"/>
      <c r="B33" s="14" t="s">
        <v>94</v>
      </c>
      <c r="C33" s="73" t="s">
        <v>95</v>
      </c>
      <c r="D33" s="78" t="s">
        <v>60</v>
      </c>
      <c r="E33" s="13">
        <v>44521</v>
      </c>
      <c r="F33" s="76" t="s">
        <v>61</v>
      </c>
      <c r="G33" s="13">
        <v>44528</v>
      </c>
      <c r="H33" s="77" t="s">
        <v>62</v>
      </c>
      <c r="I33" s="16">
        <v>34</v>
      </c>
      <c r="J33" s="16">
        <v>26</v>
      </c>
      <c r="K33" s="16">
        <v>22</v>
      </c>
      <c r="L33" s="16">
        <v>11</v>
      </c>
      <c r="M33" s="81">
        <v>4.8620000000000001</v>
      </c>
      <c r="N33" s="96">
        <v>11</v>
      </c>
      <c r="O33" s="64">
        <v>7000</v>
      </c>
      <c r="P33" s="65">
        <f>Table2245789101123[[#This Row],[PEMBULATAN]]*O33</f>
        <v>77000</v>
      </c>
    </row>
    <row r="34" spans="1:16" ht="26.25" customHeight="1" x14ac:dyDescent="0.2">
      <c r="A34" s="14"/>
      <c r="B34" s="14"/>
      <c r="C34" s="73" t="s">
        <v>96</v>
      </c>
      <c r="D34" s="78" t="s">
        <v>60</v>
      </c>
      <c r="E34" s="13">
        <v>44521</v>
      </c>
      <c r="F34" s="76" t="s">
        <v>61</v>
      </c>
      <c r="G34" s="13">
        <v>44528</v>
      </c>
      <c r="H34" s="77" t="s">
        <v>62</v>
      </c>
      <c r="I34" s="16">
        <v>47</v>
      </c>
      <c r="J34" s="16">
        <v>40</v>
      </c>
      <c r="K34" s="16">
        <v>32</v>
      </c>
      <c r="L34" s="16">
        <v>5</v>
      </c>
      <c r="M34" s="81">
        <v>15.04</v>
      </c>
      <c r="N34" s="96">
        <v>15.04</v>
      </c>
      <c r="O34" s="64">
        <v>7000</v>
      </c>
      <c r="P34" s="65">
        <f>Table2245789101123[[#This Row],[PEMBULATAN]]*O34</f>
        <v>105280</v>
      </c>
    </row>
    <row r="35" spans="1:16" ht="26.25" customHeight="1" x14ac:dyDescent="0.2">
      <c r="A35" s="14"/>
      <c r="B35" s="14"/>
      <c r="C35" s="73" t="s">
        <v>97</v>
      </c>
      <c r="D35" s="78" t="s">
        <v>60</v>
      </c>
      <c r="E35" s="13">
        <v>44521</v>
      </c>
      <c r="F35" s="76" t="s">
        <v>61</v>
      </c>
      <c r="G35" s="13">
        <v>44528</v>
      </c>
      <c r="H35" s="77" t="s">
        <v>62</v>
      </c>
      <c r="I35" s="16">
        <v>40</v>
      </c>
      <c r="J35" s="16">
        <v>50</v>
      </c>
      <c r="K35" s="16">
        <v>18</v>
      </c>
      <c r="L35" s="16">
        <v>5</v>
      </c>
      <c r="M35" s="81">
        <v>9</v>
      </c>
      <c r="N35" s="96">
        <v>9</v>
      </c>
      <c r="O35" s="64">
        <v>7000</v>
      </c>
      <c r="P35" s="65">
        <f>Table2245789101123[[#This Row],[PEMBULATAN]]*O35</f>
        <v>63000</v>
      </c>
    </row>
    <row r="36" spans="1:16" ht="26.25" customHeight="1" x14ac:dyDescent="0.2">
      <c r="A36" s="14"/>
      <c r="B36" s="14"/>
      <c r="C36" s="73" t="s">
        <v>98</v>
      </c>
      <c r="D36" s="78" t="s">
        <v>60</v>
      </c>
      <c r="E36" s="13">
        <v>44521</v>
      </c>
      <c r="F36" s="76" t="s">
        <v>61</v>
      </c>
      <c r="G36" s="13">
        <v>44528</v>
      </c>
      <c r="H36" s="77" t="s">
        <v>62</v>
      </c>
      <c r="I36" s="16">
        <v>50</v>
      </c>
      <c r="J36" s="16">
        <v>36</v>
      </c>
      <c r="K36" s="16">
        <v>20</v>
      </c>
      <c r="L36" s="16">
        <v>19</v>
      </c>
      <c r="M36" s="81">
        <v>9</v>
      </c>
      <c r="N36" s="96">
        <v>19</v>
      </c>
      <c r="O36" s="64">
        <v>7000</v>
      </c>
      <c r="P36" s="65">
        <f>Table2245789101123[[#This Row],[PEMBULATAN]]*O36</f>
        <v>133000</v>
      </c>
    </row>
    <row r="37" spans="1:16" ht="26.25" customHeight="1" x14ac:dyDescent="0.2">
      <c r="A37" s="14"/>
      <c r="B37" s="97"/>
      <c r="C37" s="73" t="s">
        <v>99</v>
      </c>
      <c r="D37" s="78" t="s">
        <v>60</v>
      </c>
      <c r="E37" s="13">
        <v>44521</v>
      </c>
      <c r="F37" s="76" t="s">
        <v>61</v>
      </c>
      <c r="G37" s="13">
        <v>44528</v>
      </c>
      <c r="H37" s="77" t="s">
        <v>62</v>
      </c>
      <c r="I37" s="16">
        <v>30</v>
      </c>
      <c r="J37" s="16">
        <v>22</v>
      </c>
      <c r="K37" s="16">
        <v>16</v>
      </c>
      <c r="L37" s="16">
        <v>12</v>
      </c>
      <c r="M37" s="81">
        <v>2.64</v>
      </c>
      <c r="N37" s="96">
        <v>12</v>
      </c>
      <c r="O37" s="64">
        <v>7000</v>
      </c>
      <c r="P37" s="65">
        <f>Table2245789101123[[#This Row],[PEMBULATAN]]*O37</f>
        <v>84000</v>
      </c>
    </row>
    <row r="38" spans="1:16" ht="26.25" customHeight="1" x14ac:dyDescent="0.2">
      <c r="A38" s="14"/>
      <c r="B38" s="14" t="s">
        <v>100</v>
      </c>
      <c r="C38" s="73" t="s">
        <v>101</v>
      </c>
      <c r="D38" s="78" t="s">
        <v>60</v>
      </c>
      <c r="E38" s="13">
        <v>44521</v>
      </c>
      <c r="F38" s="76" t="s">
        <v>61</v>
      </c>
      <c r="G38" s="13">
        <v>44528</v>
      </c>
      <c r="H38" s="77" t="s">
        <v>62</v>
      </c>
      <c r="I38" s="16">
        <v>40</v>
      </c>
      <c r="J38" s="16">
        <v>40</v>
      </c>
      <c r="K38" s="16">
        <v>22</v>
      </c>
      <c r="L38" s="16">
        <v>11</v>
      </c>
      <c r="M38" s="81">
        <v>8.8000000000000007</v>
      </c>
      <c r="N38" s="96">
        <v>11</v>
      </c>
      <c r="O38" s="64">
        <v>7000</v>
      </c>
      <c r="P38" s="65">
        <f>Table2245789101123[[#This Row],[PEMBULATAN]]*O38</f>
        <v>77000</v>
      </c>
    </row>
    <row r="39" spans="1:16" ht="26.25" customHeight="1" x14ac:dyDescent="0.2">
      <c r="A39" s="14"/>
      <c r="B39" s="14"/>
      <c r="C39" s="73" t="s">
        <v>102</v>
      </c>
      <c r="D39" s="78" t="s">
        <v>60</v>
      </c>
      <c r="E39" s="13">
        <v>44521</v>
      </c>
      <c r="F39" s="76" t="s">
        <v>61</v>
      </c>
      <c r="G39" s="13">
        <v>44528</v>
      </c>
      <c r="H39" s="77" t="s">
        <v>62</v>
      </c>
      <c r="I39" s="16">
        <v>42</v>
      </c>
      <c r="J39" s="16">
        <v>27</v>
      </c>
      <c r="K39" s="16">
        <v>17</v>
      </c>
      <c r="L39" s="16">
        <v>10</v>
      </c>
      <c r="M39" s="81">
        <v>4.8194999999999997</v>
      </c>
      <c r="N39" s="96">
        <v>10</v>
      </c>
      <c r="O39" s="64">
        <v>7000</v>
      </c>
      <c r="P39" s="65">
        <f>Table2245789101123[[#This Row],[PEMBULATAN]]*O39</f>
        <v>70000</v>
      </c>
    </row>
    <row r="40" spans="1:16" ht="26.25" customHeight="1" x14ac:dyDescent="0.2">
      <c r="A40" s="14"/>
      <c r="B40" s="14"/>
      <c r="C40" s="73" t="s">
        <v>103</v>
      </c>
      <c r="D40" s="78" t="s">
        <v>60</v>
      </c>
      <c r="E40" s="13">
        <v>44521</v>
      </c>
      <c r="F40" s="76" t="s">
        <v>61</v>
      </c>
      <c r="G40" s="13">
        <v>44528</v>
      </c>
      <c r="H40" s="77" t="s">
        <v>62</v>
      </c>
      <c r="I40" s="16">
        <v>33</v>
      </c>
      <c r="J40" s="16">
        <v>24</v>
      </c>
      <c r="K40" s="16">
        <v>20</v>
      </c>
      <c r="L40" s="16">
        <v>8</v>
      </c>
      <c r="M40" s="81">
        <v>3.96</v>
      </c>
      <c r="N40" s="96">
        <v>8</v>
      </c>
      <c r="O40" s="64">
        <v>7000</v>
      </c>
      <c r="P40" s="65">
        <f>Table2245789101123[[#This Row],[PEMBULATAN]]*O40</f>
        <v>56000</v>
      </c>
    </row>
    <row r="41" spans="1:16" ht="26.25" customHeight="1" x14ac:dyDescent="0.2">
      <c r="A41" s="14"/>
      <c r="B41" s="14"/>
      <c r="C41" s="73" t="s">
        <v>104</v>
      </c>
      <c r="D41" s="78" t="s">
        <v>60</v>
      </c>
      <c r="E41" s="13">
        <v>44521</v>
      </c>
      <c r="F41" s="76" t="s">
        <v>61</v>
      </c>
      <c r="G41" s="13">
        <v>44528</v>
      </c>
      <c r="H41" s="77" t="s">
        <v>62</v>
      </c>
      <c r="I41" s="16">
        <v>43</v>
      </c>
      <c r="J41" s="16">
        <v>35</v>
      </c>
      <c r="K41" s="16">
        <v>29</v>
      </c>
      <c r="L41" s="16">
        <v>9</v>
      </c>
      <c r="M41" s="81">
        <v>10.911250000000001</v>
      </c>
      <c r="N41" s="96">
        <v>10.911250000000001</v>
      </c>
      <c r="O41" s="64">
        <v>7000</v>
      </c>
      <c r="P41" s="65">
        <f>Table2245789101123[[#This Row],[PEMBULATAN]]*O41</f>
        <v>76378.75</v>
      </c>
    </row>
    <row r="42" spans="1:16" ht="26.25" customHeight="1" x14ac:dyDescent="0.2">
      <c r="A42" s="14"/>
      <c r="B42" s="14"/>
      <c r="C42" s="73" t="s">
        <v>105</v>
      </c>
      <c r="D42" s="78" t="s">
        <v>60</v>
      </c>
      <c r="E42" s="13">
        <v>44521</v>
      </c>
      <c r="F42" s="76" t="s">
        <v>61</v>
      </c>
      <c r="G42" s="13">
        <v>44528</v>
      </c>
      <c r="H42" s="77" t="s">
        <v>62</v>
      </c>
      <c r="I42" s="16">
        <v>43</v>
      </c>
      <c r="J42" s="16">
        <v>35</v>
      </c>
      <c r="K42" s="16">
        <v>29</v>
      </c>
      <c r="L42" s="16">
        <v>9</v>
      </c>
      <c r="M42" s="81">
        <v>10.911250000000001</v>
      </c>
      <c r="N42" s="96">
        <v>10.911250000000001</v>
      </c>
      <c r="O42" s="64">
        <v>7000</v>
      </c>
      <c r="P42" s="65">
        <f>Table2245789101123[[#This Row],[PEMBULATAN]]*O42</f>
        <v>76378.75</v>
      </c>
    </row>
    <row r="43" spans="1:16" ht="26.25" customHeight="1" x14ac:dyDescent="0.2">
      <c r="A43" s="14"/>
      <c r="B43" s="14"/>
      <c r="C43" s="73" t="s">
        <v>106</v>
      </c>
      <c r="D43" s="78" t="s">
        <v>60</v>
      </c>
      <c r="E43" s="13">
        <v>44521</v>
      </c>
      <c r="F43" s="76" t="s">
        <v>61</v>
      </c>
      <c r="G43" s="13">
        <v>44528</v>
      </c>
      <c r="H43" s="77" t="s">
        <v>62</v>
      </c>
      <c r="I43" s="16">
        <v>40</v>
      </c>
      <c r="J43" s="16">
        <v>30</v>
      </c>
      <c r="K43" s="16">
        <v>10</v>
      </c>
      <c r="L43" s="16">
        <v>3</v>
      </c>
      <c r="M43" s="81">
        <v>3</v>
      </c>
      <c r="N43" s="72">
        <v>3</v>
      </c>
      <c r="O43" s="64">
        <v>7000</v>
      </c>
      <c r="P43" s="65">
        <f>Table2245789101123[[#This Row],[PEMBULATAN]]*O43</f>
        <v>21000</v>
      </c>
    </row>
    <row r="44" spans="1:16" ht="26.25" customHeight="1" x14ac:dyDescent="0.2">
      <c r="A44" s="14"/>
      <c r="B44" s="14"/>
      <c r="C44" s="73" t="s">
        <v>107</v>
      </c>
      <c r="D44" s="78" t="s">
        <v>60</v>
      </c>
      <c r="E44" s="13">
        <v>44521</v>
      </c>
      <c r="F44" s="76" t="s">
        <v>61</v>
      </c>
      <c r="G44" s="13">
        <v>44528</v>
      </c>
      <c r="H44" s="77" t="s">
        <v>62</v>
      </c>
      <c r="I44" s="16">
        <v>33</v>
      </c>
      <c r="J44" s="16">
        <v>22</v>
      </c>
      <c r="K44" s="16">
        <v>18</v>
      </c>
      <c r="L44" s="16">
        <v>8</v>
      </c>
      <c r="M44" s="81">
        <v>3.2669999999999999</v>
      </c>
      <c r="N44" s="72">
        <v>8</v>
      </c>
      <c r="O44" s="64">
        <v>7000</v>
      </c>
      <c r="P44" s="65">
        <f>Table2245789101123[[#This Row],[PEMBULATAN]]*O44</f>
        <v>56000</v>
      </c>
    </row>
    <row r="45" spans="1:16" ht="22.5" customHeight="1" x14ac:dyDescent="0.2">
      <c r="A45" s="117" t="s">
        <v>30</v>
      </c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19"/>
      <c r="M45" s="79">
        <f>SUBTOTAL(109,Table2245789101123[KG VOLUME])</f>
        <v>587.98925000000008</v>
      </c>
      <c r="N45" s="68">
        <f>SUM(N3:N44)</f>
        <v>674.12824999999998</v>
      </c>
      <c r="O45" s="120">
        <f>SUM(P3:P44)</f>
        <v>4718897.75</v>
      </c>
      <c r="P45" s="121"/>
    </row>
    <row r="46" spans="1:16" ht="18" customHeight="1" x14ac:dyDescent="0.2">
      <c r="A46" s="86"/>
      <c r="B46" s="56" t="s">
        <v>42</v>
      </c>
      <c r="C46" s="55"/>
      <c r="D46" s="57" t="s">
        <v>43</v>
      </c>
      <c r="E46" s="86"/>
      <c r="F46" s="86"/>
      <c r="G46" s="86"/>
      <c r="H46" s="86"/>
      <c r="I46" s="86"/>
      <c r="J46" s="86"/>
      <c r="K46" s="86"/>
      <c r="L46" s="86"/>
      <c r="M46" s="87"/>
      <c r="N46" s="88" t="s">
        <v>52</v>
      </c>
      <c r="O46" s="89"/>
      <c r="P46" s="89">
        <v>0</v>
      </c>
    </row>
    <row r="47" spans="1:16" ht="18" customHeight="1" thickBot="1" x14ac:dyDescent="0.25">
      <c r="A47" s="86"/>
      <c r="B47" s="56"/>
      <c r="C47" s="55"/>
      <c r="D47" s="57"/>
      <c r="E47" s="86"/>
      <c r="F47" s="86"/>
      <c r="G47" s="86"/>
      <c r="H47" s="86"/>
      <c r="I47" s="86"/>
      <c r="J47" s="86"/>
      <c r="K47" s="86"/>
      <c r="L47" s="86"/>
      <c r="M47" s="87"/>
      <c r="N47" s="90" t="s">
        <v>53</v>
      </c>
      <c r="O47" s="91"/>
      <c r="P47" s="91">
        <f>O45-P46</f>
        <v>4718897.75</v>
      </c>
    </row>
    <row r="48" spans="1:16" ht="18" customHeight="1" x14ac:dyDescent="0.2">
      <c r="A48" s="11"/>
      <c r="H48" s="63"/>
      <c r="N48" s="62" t="s">
        <v>31</v>
      </c>
      <c r="P48" s="69">
        <f>P47*1%</f>
        <v>47188.977500000001</v>
      </c>
    </row>
    <row r="49" spans="1:16" ht="18" customHeight="1" thickBot="1" x14ac:dyDescent="0.25">
      <c r="A49" s="11"/>
      <c r="H49" s="63"/>
      <c r="N49" s="62" t="s">
        <v>54</v>
      </c>
      <c r="P49" s="71">
        <f>P47*2%</f>
        <v>94377.955000000002</v>
      </c>
    </row>
    <row r="50" spans="1:16" ht="18" customHeight="1" x14ac:dyDescent="0.2">
      <c r="A50" s="11"/>
      <c r="H50" s="63"/>
      <c r="N50" s="66" t="s">
        <v>32</v>
      </c>
      <c r="O50" s="67"/>
      <c r="P50" s="70">
        <f>P47+P48-P49</f>
        <v>4671708.7725</v>
      </c>
    </row>
    <row r="52" spans="1:16" x14ac:dyDescent="0.2">
      <c r="A52" s="11"/>
      <c r="H52" s="63"/>
      <c r="P52" s="71"/>
    </row>
    <row r="53" spans="1:16" x14ac:dyDescent="0.2">
      <c r="A53" s="11"/>
      <c r="H53" s="63"/>
      <c r="O53" s="58"/>
      <c r="P53" s="71"/>
    </row>
    <row r="54" spans="1:16" s="3" customFormat="1" x14ac:dyDescent="0.25">
      <c r="A54" s="11"/>
      <c r="B54" s="2"/>
      <c r="C54" s="2"/>
      <c r="E54" s="12"/>
      <c r="H54" s="63"/>
      <c r="N54" s="15"/>
      <c r="O54" s="15"/>
      <c r="P54" s="15"/>
    </row>
    <row r="55" spans="1:16" s="3" customFormat="1" x14ac:dyDescent="0.25">
      <c r="A55" s="11"/>
      <c r="B55" s="2"/>
      <c r="C55" s="2"/>
      <c r="E55" s="12"/>
      <c r="H55" s="63"/>
      <c r="N55" s="15"/>
      <c r="O55" s="15"/>
      <c r="P55" s="15"/>
    </row>
    <row r="56" spans="1:16" s="3" customFormat="1" x14ac:dyDescent="0.25">
      <c r="A56" s="11"/>
      <c r="B56" s="2"/>
      <c r="C56" s="2"/>
      <c r="E56" s="12"/>
      <c r="H56" s="63"/>
      <c r="N56" s="15"/>
      <c r="O56" s="15"/>
      <c r="P56" s="15"/>
    </row>
    <row r="57" spans="1:16" s="3" customFormat="1" x14ac:dyDescent="0.25">
      <c r="A57" s="11"/>
      <c r="B57" s="2"/>
      <c r="C57" s="2"/>
      <c r="E57" s="12"/>
      <c r="H57" s="63"/>
      <c r="N57" s="15"/>
      <c r="O57" s="15"/>
      <c r="P57" s="15"/>
    </row>
    <row r="58" spans="1:16" s="3" customFormat="1" x14ac:dyDescent="0.25">
      <c r="A58" s="11"/>
      <c r="B58" s="2"/>
      <c r="C58" s="2"/>
      <c r="E58" s="12"/>
      <c r="H58" s="63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3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3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3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3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3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63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63"/>
      <c r="N65" s="15"/>
      <c r="O65" s="15"/>
      <c r="P65" s="15"/>
    </row>
  </sheetData>
  <mergeCells count="2">
    <mergeCell ref="A45:L45"/>
    <mergeCell ref="O45:P45"/>
  </mergeCells>
  <conditionalFormatting sqref="B3">
    <cfRule type="duplicateValues" dxfId="406" priority="2"/>
  </conditionalFormatting>
  <conditionalFormatting sqref="B4">
    <cfRule type="duplicateValues" dxfId="405" priority="1"/>
  </conditionalFormatting>
  <conditionalFormatting sqref="B5:B44">
    <cfRule type="duplicateValues" dxfId="404" priority="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tabSelected="1"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15" sqref="H1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403220</v>
      </c>
      <c r="B3" s="74" t="s">
        <v>108</v>
      </c>
      <c r="C3" s="9" t="s">
        <v>109</v>
      </c>
      <c r="D3" s="76" t="s">
        <v>60</v>
      </c>
      <c r="E3" s="13">
        <v>44522</v>
      </c>
      <c r="F3" s="76" t="s">
        <v>61</v>
      </c>
      <c r="G3" s="13">
        <v>44528</v>
      </c>
      <c r="H3" s="10" t="s">
        <v>62</v>
      </c>
      <c r="I3" s="1">
        <v>75</v>
      </c>
      <c r="J3" s="1">
        <v>50</v>
      </c>
      <c r="K3" s="1">
        <v>40</v>
      </c>
      <c r="L3" s="1">
        <v>5</v>
      </c>
      <c r="M3" s="80">
        <v>37.5</v>
      </c>
      <c r="N3" s="96">
        <v>37.5</v>
      </c>
      <c r="O3" s="64">
        <v>7000</v>
      </c>
      <c r="P3" s="65">
        <f>Table22457891011234[[#This Row],[PEMBULATAN]]*O3</f>
        <v>262500</v>
      </c>
    </row>
    <row r="4" spans="1:16" ht="26.25" customHeight="1" x14ac:dyDescent="0.2">
      <c r="A4" s="14"/>
      <c r="B4" s="75"/>
      <c r="C4" s="9" t="s">
        <v>110</v>
      </c>
      <c r="D4" s="76" t="s">
        <v>60</v>
      </c>
      <c r="E4" s="13">
        <v>44522</v>
      </c>
      <c r="F4" s="76" t="s">
        <v>61</v>
      </c>
      <c r="G4" s="13">
        <v>44528</v>
      </c>
      <c r="H4" s="10" t="s">
        <v>62</v>
      </c>
      <c r="I4" s="1">
        <v>53</v>
      </c>
      <c r="J4" s="1">
        <v>28</v>
      </c>
      <c r="K4" s="1">
        <v>22</v>
      </c>
      <c r="L4" s="1">
        <v>14</v>
      </c>
      <c r="M4" s="80">
        <v>8.1620000000000008</v>
      </c>
      <c r="N4" s="8">
        <v>14</v>
      </c>
      <c r="O4" s="64">
        <v>7000</v>
      </c>
      <c r="P4" s="65">
        <f>Table22457891011234[[#This Row],[PEMBULATAN]]*O4</f>
        <v>98000</v>
      </c>
    </row>
    <row r="5" spans="1:16" ht="22.5" customHeight="1" x14ac:dyDescent="0.2">
      <c r="A5" s="117" t="s">
        <v>30</v>
      </c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9"/>
      <c r="M5" s="79">
        <f>SUBTOTAL(109,Table22457891011234[KG VOLUME])</f>
        <v>45.661999999999999</v>
      </c>
      <c r="N5" s="68">
        <f>SUM(N3:N4)</f>
        <v>51.5</v>
      </c>
      <c r="O5" s="120">
        <f>SUM(P3:P4)</f>
        <v>360500</v>
      </c>
      <c r="P5" s="121"/>
    </row>
    <row r="6" spans="1:16" ht="18" customHeight="1" x14ac:dyDescent="0.2">
      <c r="A6" s="86"/>
      <c r="B6" s="56" t="s">
        <v>42</v>
      </c>
      <c r="C6" s="55"/>
      <c r="D6" s="57" t="s">
        <v>43</v>
      </c>
      <c r="E6" s="86"/>
      <c r="F6" s="86"/>
      <c r="G6" s="86"/>
      <c r="H6" s="86"/>
      <c r="I6" s="86"/>
      <c r="J6" s="86"/>
      <c r="K6" s="86"/>
      <c r="L6" s="86"/>
      <c r="M6" s="87"/>
      <c r="N6" s="88" t="s">
        <v>52</v>
      </c>
      <c r="O6" s="89"/>
      <c r="P6" s="89">
        <v>0</v>
      </c>
    </row>
    <row r="7" spans="1:16" ht="18" customHeight="1" thickBot="1" x14ac:dyDescent="0.25">
      <c r="A7" s="86"/>
      <c r="B7" s="56"/>
      <c r="C7" s="55"/>
      <c r="D7" s="57"/>
      <c r="E7" s="86"/>
      <c r="F7" s="86"/>
      <c r="G7" s="86"/>
      <c r="H7" s="86"/>
      <c r="I7" s="86"/>
      <c r="J7" s="86"/>
      <c r="K7" s="86"/>
      <c r="L7" s="86"/>
      <c r="M7" s="87"/>
      <c r="N7" s="90" t="s">
        <v>53</v>
      </c>
      <c r="O7" s="91"/>
      <c r="P7" s="91">
        <f>O5-P6</f>
        <v>360500</v>
      </c>
    </row>
    <row r="8" spans="1:16" ht="18" customHeight="1" x14ac:dyDescent="0.2">
      <c r="A8" s="11"/>
      <c r="H8" s="63"/>
      <c r="N8" s="62" t="s">
        <v>31</v>
      </c>
      <c r="P8" s="69">
        <f>P7*1%</f>
        <v>3605</v>
      </c>
    </row>
    <row r="9" spans="1:16" ht="18" customHeight="1" thickBot="1" x14ac:dyDescent="0.25">
      <c r="A9" s="11"/>
      <c r="H9" s="63" t="s">
        <v>523</v>
      </c>
      <c r="N9" s="62" t="s">
        <v>54</v>
      </c>
      <c r="P9" s="71">
        <f>P7*2%</f>
        <v>7210</v>
      </c>
    </row>
    <row r="10" spans="1:16" ht="18" customHeight="1" x14ac:dyDescent="0.2">
      <c r="A10" s="11"/>
      <c r="H10" s="63"/>
      <c r="N10" s="66" t="s">
        <v>32</v>
      </c>
      <c r="O10" s="67"/>
      <c r="P10" s="70">
        <f>P7+P8-P9</f>
        <v>356895</v>
      </c>
    </row>
    <row r="12" spans="1:16" x14ac:dyDescent="0.2">
      <c r="A12" s="11"/>
      <c r="H12" s="63"/>
      <c r="P12" s="71"/>
    </row>
    <row r="13" spans="1:16" x14ac:dyDescent="0.2">
      <c r="A13" s="11"/>
      <c r="H13" s="63"/>
      <c r="O13" s="58"/>
      <c r="P13" s="71"/>
    </row>
    <row r="14" spans="1:16" s="3" customFormat="1" x14ac:dyDescent="0.25">
      <c r="A14" s="11"/>
      <c r="B14" s="2"/>
      <c r="C14" s="2"/>
      <c r="E14" s="12"/>
      <c r="H14" s="63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3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</sheetData>
  <mergeCells count="2">
    <mergeCell ref="A5:L5"/>
    <mergeCell ref="O5:P5"/>
  </mergeCells>
  <conditionalFormatting sqref="B3">
    <cfRule type="duplicateValues" dxfId="388" priority="2"/>
  </conditionalFormatting>
  <conditionalFormatting sqref="B4">
    <cfRule type="duplicateValues" dxfId="387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6"/>
  <sheetViews>
    <sheetView zoomScale="110" zoomScaleNormal="110" workbookViewId="0">
      <pane xSplit="3" ySplit="2" topLeftCell="D8" activePane="bottomRight" state="frozen"/>
      <selection pane="topRight" activeCell="B1" sqref="B1"/>
      <selection pane="bottomLeft" activeCell="A3" sqref="A3"/>
      <selection pane="bottomRight" activeCell="O17" sqref="O1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406077</v>
      </c>
      <c r="B3" s="74" t="s">
        <v>111</v>
      </c>
      <c r="C3" s="9" t="s">
        <v>112</v>
      </c>
      <c r="D3" s="76" t="s">
        <v>60</v>
      </c>
      <c r="E3" s="13">
        <v>44522</v>
      </c>
      <c r="F3" s="76" t="s">
        <v>61</v>
      </c>
      <c r="G3" s="13">
        <v>44528</v>
      </c>
      <c r="H3" s="10" t="s">
        <v>62</v>
      </c>
      <c r="I3" s="1">
        <v>95</v>
      </c>
      <c r="J3" s="1">
        <v>33</v>
      </c>
      <c r="K3" s="1">
        <v>20</v>
      </c>
      <c r="L3" s="1">
        <v>10</v>
      </c>
      <c r="M3" s="80">
        <v>15.675000000000001</v>
      </c>
      <c r="N3" s="96">
        <v>15.675000000000001</v>
      </c>
      <c r="O3" s="64">
        <v>7000</v>
      </c>
      <c r="P3" s="65">
        <f>Table224578910112345[[#This Row],[PEMBULATAN]]*O3</f>
        <v>109725</v>
      </c>
    </row>
    <row r="4" spans="1:16" ht="26.25" customHeight="1" x14ac:dyDescent="0.2">
      <c r="A4" s="14"/>
      <c r="B4" s="75"/>
      <c r="C4" s="9" t="s">
        <v>113</v>
      </c>
      <c r="D4" s="76" t="s">
        <v>60</v>
      </c>
      <c r="E4" s="13">
        <v>44522</v>
      </c>
      <c r="F4" s="76" t="s">
        <v>61</v>
      </c>
      <c r="G4" s="13">
        <v>44528</v>
      </c>
      <c r="H4" s="10" t="s">
        <v>62</v>
      </c>
      <c r="I4" s="1">
        <v>62</v>
      </c>
      <c r="J4" s="1">
        <v>46</v>
      </c>
      <c r="K4" s="1">
        <v>43</v>
      </c>
      <c r="L4" s="1">
        <v>13</v>
      </c>
      <c r="M4" s="80">
        <v>30.658999999999999</v>
      </c>
      <c r="N4" s="96">
        <v>30.658999999999999</v>
      </c>
      <c r="O4" s="64">
        <v>7000</v>
      </c>
      <c r="P4" s="65">
        <f>Table224578910112345[[#This Row],[PEMBULATAN]]*O4</f>
        <v>214613</v>
      </c>
    </row>
    <row r="5" spans="1:16" ht="26.25" customHeight="1" x14ac:dyDescent="0.2">
      <c r="A5" s="14"/>
      <c r="B5" s="14"/>
      <c r="C5" s="9" t="s">
        <v>114</v>
      </c>
      <c r="D5" s="76" t="s">
        <v>60</v>
      </c>
      <c r="E5" s="13">
        <v>44522</v>
      </c>
      <c r="F5" s="76" t="s">
        <v>61</v>
      </c>
      <c r="G5" s="13">
        <v>44528</v>
      </c>
      <c r="H5" s="10" t="s">
        <v>62</v>
      </c>
      <c r="I5" s="1">
        <v>45</v>
      </c>
      <c r="J5" s="1">
        <v>42</v>
      </c>
      <c r="K5" s="1">
        <v>35</v>
      </c>
      <c r="L5" s="1">
        <v>10</v>
      </c>
      <c r="M5" s="80">
        <v>16.537500000000001</v>
      </c>
      <c r="N5" s="96">
        <v>16.537500000000001</v>
      </c>
      <c r="O5" s="64">
        <v>7000</v>
      </c>
      <c r="P5" s="65">
        <f>Table224578910112345[[#This Row],[PEMBULATAN]]*O5</f>
        <v>115762.50000000001</v>
      </c>
    </row>
    <row r="6" spans="1:16" ht="26.25" customHeight="1" x14ac:dyDescent="0.2">
      <c r="A6" s="14"/>
      <c r="B6" s="14"/>
      <c r="C6" s="73" t="s">
        <v>115</v>
      </c>
      <c r="D6" s="78" t="s">
        <v>60</v>
      </c>
      <c r="E6" s="13">
        <v>44522</v>
      </c>
      <c r="F6" s="76" t="s">
        <v>61</v>
      </c>
      <c r="G6" s="13">
        <v>44528</v>
      </c>
      <c r="H6" s="77" t="s">
        <v>62</v>
      </c>
      <c r="I6" s="16">
        <v>48</v>
      </c>
      <c r="J6" s="16">
        <v>27</v>
      </c>
      <c r="K6" s="16">
        <v>22</v>
      </c>
      <c r="L6" s="16">
        <v>5</v>
      </c>
      <c r="M6" s="81">
        <v>7.1280000000000001</v>
      </c>
      <c r="N6" s="96">
        <v>7.1280000000000001</v>
      </c>
      <c r="O6" s="64">
        <v>7000</v>
      </c>
      <c r="P6" s="65">
        <f>Table224578910112345[[#This Row],[PEMBULATAN]]*O6</f>
        <v>49896</v>
      </c>
    </row>
    <row r="7" spans="1:16" ht="26.25" customHeight="1" x14ac:dyDescent="0.2">
      <c r="A7" s="14"/>
      <c r="B7" s="14"/>
      <c r="C7" s="73" t="s">
        <v>116</v>
      </c>
      <c r="D7" s="78" t="s">
        <v>60</v>
      </c>
      <c r="E7" s="13">
        <v>44522</v>
      </c>
      <c r="F7" s="76" t="s">
        <v>61</v>
      </c>
      <c r="G7" s="13">
        <v>44528</v>
      </c>
      <c r="H7" s="77" t="s">
        <v>62</v>
      </c>
      <c r="I7" s="16">
        <v>20</v>
      </c>
      <c r="J7" s="16">
        <v>12</v>
      </c>
      <c r="K7" s="16">
        <v>8</v>
      </c>
      <c r="L7" s="16">
        <v>1</v>
      </c>
      <c r="M7" s="81">
        <v>0.48</v>
      </c>
      <c r="N7" s="96">
        <v>2</v>
      </c>
      <c r="O7" s="64">
        <v>7000</v>
      </c>
      <c r="P7" s="65">
        <f>Table224578910112345[[#This Row],[PEMBULATAN]]*O7</f>
        <v>14000</v>
      </c>
    </row>
    <row r="8" spans="1:16" ht="26.25" customHeight="1" x14ac:dyDescent="0.2">
      <c r="A8" s="14"/>
      <c r="B8" s="14"/>
      <c r="C8" s="73" t="s">
        <v>117</v>
      </c>
      <c r="D8" s="78" t="s">
        <v>60</v>
      </c>
      <c r="E8" s="13">
        <v>44522</v>
      </c>
      <c r="F8" s="76" t="s">
        <v>61</v>
      </c>
      <c r="G8" s="13">
        <v>44528</v>
      </c>
      <c r="H8" s="77" t="s">
        <v>62</v>
      </c>
      <c r="I8" s="16">
        <v>66</v>
      </c>
      <c r="J8" s="16">
        <v>45</v>
      </c>
      <c r="K8" s="16">
        <v>16</v>
      </c>
      <c r="L8" s="16">
        <v>9</v>
      </c>
      <c r="M8" s="81">
        <v>11.88</v>
      </c>
      <c r="N8" s="96">
        <v>11.88</v>
      </c>
      <c r="O8" s="64">
        <v>7000</v>
      </c>
      <c r="P8" s="65">
        <f>Table224578910112345[[#This Row],[PEMBULATAN]]*O8</f>
        <v>83160</v>
      </c>
    </row>
    <row r="9" spans="1:16" ht="26.25" customHeight="1" x14ac:dyDescent="0.2">
      <c r="A9" s="14"/>
      <c r="B9" s="14"/>
      <c r="C9" s="73" t="s">
        <v>118</v>
      </c>
      <c r="D9" s="78" t="s">
        <v>60</v>
      </c>
      <c r="E9" s="13">
        <v>44522</v>
      </c>
      <c r="F9" s="76" t="s">
        <v>61</v>
      </c>
      <c r="G9" s="13">
        <v>44528</v>
      </c>
      <c r="H9" s="77" t="s">
        <v>62</v>
      </c>
      <c r="I9" s="16">
        <v>55</v>
      </c>
      <c r="J9" s="16">
        <v>40</v>
      </c>
      <c r="K9" s="16">
        <v>43</v>
      </c>
      <c r="L9" s="16">
        <v>12</v>
      </c>
      <c r="M9" s="81">
        <v>23.65</v>
      </c>
      <c r="N9" s="96">
        <v>23.65</v>
      </c>
      <c r="O9" s="64">
        <v>7000</v>
      </c>
      <c r="P9" s="65">
        <f>Table224578910112345[[#This Row],[PEMBULATAN]]*O9</f>
        <v>165550</v>
      </c>
    </row>
    <row r="10" spans="1:16" ht="26.25" customHeight="1" x14ac:dyDescent="0.2">
      <c r="A10" s="14"/>
      <c r="B10" s="97"/>
      <c r="C10" s="73" t="s">
        <v>119</v>
      </c>
      <c r="D10" s="78" t="s">
        <v>60</v>
      </c>
      <c r="E10" s="13">
        <v>44522</v>
      </c>
      <c r="F10" s="76" t="s">
        <v>61</v>
      </c>
      <c r="G10" s="13">
        <v>44528</v>
      </c>
      <c r="H10" s="77" t="s">
        <v>62</v>
      </c>
      <c r="I10" s="16">
        <v>56</v>
      </c>
      <c r="J10" s="16">
        <v>42</v>
      </c>
      <c r="K10" s="16">
        <v>32</v>
      </c>
      <c r="L10" s="16">
        <v>20</v>
      </c>
      <c r="M10" s="81">
        <v>18.815999999999999</v>
      </c>
      <c r="N10" s="96">
        <v>20</v>
      </c>
      <c r="O10" s="64">
        <v>7000</v>
      </c>
      <c r="P10" s="65">
        <f>Table224578910112345[[#This Row],[PEMBULATAN]]*O10</f>
        <v>140000</v>
      </c>
    </row>
    <row r="11" spans="1:16" ht="26.25" customHeight="1" x14ac:dyDescent="0.2">
      <c r="A11" s="14"/>
      <c r="B11" s="98" t="s">
        <v>120</v>
      </c>
      <c r="C11" s="73" t="s">
        <v>121</v>
      </c>
      <c r="D11" s="78" t="s">
        <v>60</v>
      </c>
      <c r="E11" s="13">
        <v>44522</v>
      </c>
      <c r="F11" s="76" t="s">
        <v>61</v>
      </c>
      <c r="G11" s="13">
        <v>44528</v>
      </c>
      <c r="H11" s="77" t="s">
        <v>62</v>
      </c>
      <c r="I11" s="16">
        <v>36</v>
      </c>
      <c r="J11" s="16">
        <v>28</v>
      </c>
      <c r="K11" s="16">
        <v>30</v>
      </c>
      <c r="L11" s="16">
        <v>7</v>
      </c>
      <c r="M11" s="81">
        <v>7.56</v>
      </c>
      <c r="N11" s="96">
        <v>7.56</v>
      </c>
      <c r="O11" s="64">
        <v>7000</v>
      </c>
      <c r="P11" s="65">
        <f>Table224578910112345[[#This Row],[PEMBULATAN]]*O11</f>
        <v>52920</v>
      </c>
    </row>
    <row r="12" spans="1:16" ht="26.25" customHeight="1" x14ac:dyDescent="0.2">
      <c r="A12" s="14"/>
      <c r="B12" s="14" t="s">
        <v>122</v>
      </c>
      <c r="C12" s="73" t="s">
        <v>123</v>
      </c>
      <c r="D12" s="78" t="s">
        <v>60</v>
      </c>
      <c r="E12" s="13">
        <v>44522</v>
      </c>
      <c r="F12" s="76" t="s">
        <v>61</v>
      </c>
      <c r="G12" s="13">
        <v>44528</v>
      </c>
      <c r="H12" s="77" t="s">
        <v>62</v>
      </c>
      <c r="I12" s="16">
        <v>62</v>
      </c>
      <c r="J12" s="16">
        <v>37</v>
      </c>
      <c r="K12" s="16">
        <v>6</v>
      </c>
      <c r="L12" s="16">
        <v>10</v>
      </c>
      <c r="M12" s="81">
        <v>3.4409999999999998</v>
      </c>
      <c r="N12" s="96">
        <v>11</v>
      </c>
      <c r="O12" s="64">
        <v>7000</v>
      </c>
      <c r="P12" s="65">
        <f>Table224578910112345[[#This Row],[PEMBULATAN]]*O12</f>
        <v>77000</v>
      </c>
    </row>
    <row r="13" spans="1:16" ht="26.25" customHeight="1" x14ac:dyDescent="0.2">
      <c r="A13" s="14"/>
      <c r="B13" s="14"/>
      <c r="C13" s="73" t="s">
        <v>124</v>
      </c>
      <c r="D13" s="78" t="s">
        <v>60</v>
      </c>
      <c r="E13" s="13">
        <v>44522</v>
      </c>
      <c r="F13" s="76" t="s">
        <v>61</v>
      </c>
      <c r="G13" s="13">
        <v>44528</v>
      </c>
      <c r="H13" s="77" t="s">
        <v>62</v>
      </c>
      <c r="I13" s="16">
        <v>44</v>
      </c>
      <c r="J13" s="16">
        <v>28</v>
      </c>
      <c r="K13" s="16">
        <v>12</v>
      </c>
      <c r="L13" s="16">
        <v>10</v>
      </c>
      <c r="M13" s="81">
        <v>3.6960000000000002</v>
      </c>
      <c r="N13" s="96">
        <v>10</v>
      </c>
      <c r="O13" s="64">
        <v>7000</v>
      </c>
      <c r="P13" s="65">
        <f>Table224578910112345[[#This Row],[PEMBULATAN]]*O13</f>
        <v>70000</v>
      </c>
    </row>
    <row r="14" spans="1:16" ht="26.25" customHeight="1" x14ac:dyDescent="0.2">
      <c r="A14" s="14"/>
      <c r="B14" s="14"/>
      <c r="C14" s="73" t="s">
        <v>125</v>
      </c>
      <c r="D14" s="78" t="s">
        <v>60</v>
      </c>
      <c r="E14" s="13">
        <v>44522</v>
      </c>
      <c r="F14" s="76" t="s">
        <v>61</v>
      </c>
      <c r="G14" s="13">
        <v>44528</v>
      </c>
      <c r="H14" s="77" t="s">
        <v>62</v>
      </c>
      <c r="I14" s="16">
        <v>47</v>
      </c>
      <c r="J14" s="16">
        <v>35</v>
      </c>
      <c r="K14" s="16">
        <v>20</v>
      </c>
      <c r="L14" s="16">
        <v>12</v>
      </c>
      <c r="M14" s="81">
        <v>8.2249999999999996</v>
      </c>
      <c r="N14" s="96">
        <v>12</v>
      </c>
      <c r="O14" s="64">
        <v>7000</v>
      </c>
      <c r="P14" s="65">
        <f>Table224578910112345[[#This Row],[PEMBULATAN]]*O14</f>
        <v>84000</v>
      </c>
    </row>
    <row r="15" spans="1:16" ht="26.25" customHeight="1" x14ac:dyDescent="0.2">
      <c r="A15" s="14"/>
      <c r="B15" s="14"/>
      <c r="C15" s="73" t="s">
        <v>126</v>
      </c>
      <c r="D15" s="78" t="s">
        <v>60</v>
      </c>
      <c r="E15" s="13">
        <v>44522</v>
      </c>
      <c r="F15" s="76" t="s">
        <v>61</v>
      </c>
      <c r="G15" s="13">
        <v>44528</v>
      </c>
      <c r="H15" s="77" t="s">
        <v>62</v>
      </c>
      <c r="I15" s="16">
        <v>47</v>
      </c>
      <c r="J15" s="16">
        <v>34</v>
      </c>
      <c r="K15" s="16">
        <v>12</v>
      </c>
      <c r="L15" s="16">
        <v>10</v>
      </c>
      <c r="M15" s="81">
        <v>4.7939999999999996</v>
      </c>
      <c r="N15" s="96">
        <v>10</v>
      </c>
      <c r="O15" s="64">
        <v>7000</v>
      </c>
      <c r="P15" s="65">
        <f>Table224578910112345[[#This Row],[PEMBULATAN]]*O15</f>
        <v>70000</v>
      </c>
    </row>
    <row r="16" spans="1:16" ht="22.5" customHeight="1" x14ac:dyDescent="0.2">
      <c r="A16" s="117" t="s">
        <v>30</v>
      </c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9"/>
      <c r="M16" s="79">
        <f>SUBTOTAL(109,Table224578910112345[KG VOLUME])</f>
        <v>152.54150000000001</v>
      </c>
      <c r="N16" s="68">
        <f>SUM(N3:N15)</f>
        <v>178.08950000000002</v>
      </c>
      <c r="O16" s="120">
        <f>SUM(P3:P15)</f>
        <v>1246626.5</v>
      </c>
      <c r="P16" s="121"/>
    </row>
    <row r="17" spans="1:16" ht="18" customHeight="1" x14ac:dyDescent="0.2">
      <c r="A17" s="86"/>
      <c r="B17" s="56" t="s">
        <v>42</v>
      </c>
      <c r="C17" s="55"/>
      <c r="D17" s="57" t="s">
        <v>43</v>
      </c>
      <c r="E17" s="86"/>
      <c r="F17" s="86"/>
      <c r="G17" s="86"/>
      <c r="H17" s="86"/>
      <c r="I17" s="86"/>
      <c r="J17" s="86"/>
      <c r="K17" s="86"/>
      <c r="L17" s="86"/>
      <c r="M17" s="87"/>
      <c r="N17" s="88" t="s">
        <v>52</v>
      </c>
      <c r="O17" s="89"/>
      <c r="P17" s="89">
        <v>0</v>
      </c>
    </row>
    <row r="18" spans="1:16" ht="18" customHeight="1" thickBot="1" x14ac:dyDescent="0.25">
      <c r="A18" s="86"/>
      <c r="B18" s="56"/>
      <c r="C18" s="55"/>
      <c r="D18" s="57"/>
      <c r="E18" s="86"/>
      <c r="F18" s="86"/>
      <c r="G18" s="86"/>
      <c r="H18" s="86"/>
      <c r="I18" s="86"/>
      <c r="J18" s="86"/>
      <c r="K18" s="86"/>
      <c r="L18" s="86"/>
      <c r="M18" s="87"/>
      <c r="N18" s="90" t="s">
        <v>53</v>
      </c>
      <c r="O18" s="91"/>
      <c r="P18" s="91">
        <f>O16-P17</f>
        <v>1246626.5</v>
      </c>
    </row>
    <row r="19" spans="1:16" ht="18" customHeight="1" x14ac:dyDescent="0.2">
      <c r="A19" s="11"/>
      <c r="H19" s="63"/>
      <c r="N19" s="62" t="s">
        <v>31</v>
      </c>
      <c r="P19" s="69">
        <f>P18*1%</f>
        <v>12466.264999999999</v>
      </c>
    </row>
    <row r="20" spans="1:16" ht="18" customHeight="1" thickBot="1" x14ac:dyDescent="0.25">
      <c r="A20" s="11"/>
      <c r="H20" s="63"/>
      <c r="N20" s="62" t="s">
        <v>54</v>
      </c>
      <c r="P20" s="71">
        <f>P18*2%</f>
        <v>24932.53</v>
      </c>
    </row>
    <row r="21" spans="1:16" ht="18" customHeight="1" x14ac:dyDescent="0.2">
      <c r="A21" s="11"/>
      <c r="H21" s="63"/>
      <c r="N21" s="66" t="s">
        <v>32</v>
      </c>
      <c r="O21" s="67"/>
      <c r="P21" s="70">
        <f>P18+P19-P20</f>
        <v>1234160.2349999999</v>
      </c>
    </row>
    <row r="23" spans="1:16" x14ac:dyDescent="0.2">
      <c r="A23" s="11"/>
      <c r="H23" s="63"/>
      <c r="P23" s="71"/>
    </row>
    <row r="24" spans="1:16" x14ac:dyDescent="0.2">
      <c r="A24" s="11"/>
      <c r="H24" s="63"/>
      <c r="O24" s="58"/>
      <c r="P24" s="71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3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3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3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3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3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3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3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3"/>
      <c r="N36" s="15"/>
      <c r="O36" s="15"/>
      <c r="P36" s="15"/>
    </row>
  </sheetData>
  <mergeCells count="2">
    <mergeCell ref="A16:L16"/>
    <mergeCell ref="O16:P16"/>
  </mergeCells>
  <conditionalFormatting sqref="B3">
    <cfRule type="duplicateValues" dxfId="371" priority="2"/>
  </conditionalFormatting>
  <conditionalFormatting sqref="B4">
    <cfRule type="duplicateValues" dxfId="370" priority="1"/>
  </conditionalFormatting>
  <conditionalFormatting sqref="B5:B15">
    <cfRule type="duplicateValues" dxfId="369" priority="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10" sqref="H1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403222</v>
      </c>
      <c r="B3" s="74" t="s">
        <v>127</v>
      </c>
      <c r="C3" s="9" t="s">
        <v>128</v>
      </c>
      <c r="D3" s="76" t="s">
        <v>60</v>
      </c>
      <c r="E3" s="13">
        <v>44523</v>
      </c>
      <c r="F3" s="76" t="s">
        <v>61</v>
      </c>
      <c r="G3" s="13">
        <v>44528</v>
      </c>
      <c r="H3" s="10" t="s">
        <v>62</v>
      </c>
      <c r="I3" s="1">
        <v>50</v>
      </c>
      <c r="J3" s="1">
        <v>42</v>
      </c>
      <c r="K3" s="1">
        <v>26</v>
      </c>
      <c r="L3" s="1">
        <v>18</v>
      </c>
      <c r="M3" s="80">
        <v>13.65</v>
      </c>
      <c r="N3" s="8">
        <v>18</v>
      </c>
      <c r="O3" s="64">
        <v>7000</v>
      </c>
      <c r="P3" s="65">
        <f>Table2245789101123456[PEMBULATAN]*O3</f>
        <v>126000</v>
      </c>
    </row>
    <row r="4" spans="1:16" ht="22.5" customHeight="1" x14ac:dyDescent="0.2">
      <c r="A4" s="117" t="s">
        <v>30</v>
      </c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9"/>
      <c r="M4" s="79">
        <f>SUBTOTAL(109,Table2245789101123456[KG VOLUME])</f>
        <v>13.65</v>
      </c>
      <c r="N4" s="68">
        <f>SUM(N3:N3)</f>
        <v>18</v>
      </c>
      <c r="O4" s="120">
        <f>SUM(P3:P3)</f>
        <v>126000</v>
      </c>
      <c r="P4" s="121"/>
    </row>
    <row r="5" spans="1:16" ht="18" customHeight="1" x14ac:dyDescent="0.2">
      <c r="A5" s="86"/>
      <c r="B5" s="56" t="s">
        <v>42</v>
      </c>
      <c r="C5" s="55"/>
      <c r="D5" s="57" t="s">
        <v>43</v>
      </c>
      <c r="E5" s="86"/>
      <c r="F5" s="86"/>
      <c r="G5" s="86"/>
      <c r="H5" s="86"/>
      <c r="I5" s="86"/>
      <c r="J5" s="86"/>
      <c r="K5" s="86"/>
      <c r="L5" s="86"/>
      <c r="M5" s="87"/>
      <c r="N5" s="88" t="s">
        <v>52</v>
      </c>
      <c r="O5" s="89"/>
      <c r="P5" s="89">
        <v>0</v>
      </c>
    </row>
    <row r="6" spans="1:16" ht="18" customHeight="1" thickBot="1" x14ac:dyDescent="0.25">
      <c r="A6" s="86"/>
      <c r="B6" s="56"/>
      <c r="C6" s="55"/>
      <c r="D6" s="57"/>
      <c r="E6" s="86"/>
      <c r="F6" s="86"/>
      <c r="G6" s="86"/>
      <c r="H6" s="86"/>
      <c r="I6" s="86"/>
      <c r="J6" s="86"/>
      <c r="K6" s="86"/>
      <c r="L6" s="86"/>
      <c r="M6" s="87"/>
      <c r="N6" s="90" t="s">
        <v>53</v>
      </c>
      <c r="O6" s="91"/>
      <c r="P6" s="91">
        <f>O4-P5</f>
        <v>126000</v>
      </c>
    </row>
    <row r="7" spans="1:16" ht="18" customHeight="1" x14ac:dyDescent="0.2">
      <c r="A7" s="11"/>
      <c r="H7" s="63"/>
      <c r="N7" s="62" t="s">
        <v>31</v>
      </c>
      <c r="P7" s="69">
        <f>P6*1%</f>
        <v>1260</v>
      </c>
    </row>
    <row r="8" spans="1:16" ht="18" customHeight="1" thickBot="1" x14ac:dyDescent="0.25">
      <c r="A8" s="11"/>
      <c r="H8" s="63"/>
      <c r="N8" s="62" t="s">
        <v>54</v>
      </c>
      <c r="P8" s="71">
        <f>P6*2%</f>
        <v>2520</v>
      </c>
    </row>
    <row r="9" spans="1:16" ht="18" customHeight="1" x14ac:dyDescent="0.2">
      <c r="A9" s="11"/>
      <c r="H9" s="63"/>
      <c r="N9" s="66" t="s">
        <v>32</v>
      </c>
      <c r="O9" s="67"/>
      <c r="P9" s="70">
        <f>P6+P7-P8</f>
        <v>124740</v>
      </c>
    </row>
    <row r="11" spans="1:16" x14ac:dyDescent="0.2">
      <c r="A11" s="11"/>
      <c r="H11" s="63"/>
      <c r="P11" s="71"/>
    </row>
    <row r="12" spans="1:16" x14ac:dyDescent="0.2">
      <c r="A12" s="11"/>
      <c r="H12" s="63"/>
      <c r="O12" s="58"/>
      <c r="P12" s="71"/>
    </row>
    <row r="13" spans="1:16" s="3" customFormat="1" x14ac:dyDescent="0.25">
      <c r="A13" s="11"/>
      <c r="B13" s="2"/>
      <c r="C13" s="2"/>
      <c r="E13" s="12"/>
      <c r="H13" s="63"/>
      <c r="N13" s="15"/>
      <c r="O13" s="15"/>
      <c r="P13" s="15"/>
    </row>
    <row r="14" spans="1:16" s="3" customFormat="1" x14ac:dyDescent="0.25">
      <c r="A14" s="11"/>
      <c r="B14" s="2"/>
      <c r="C14" s="2"/>
      <c r="E14" s="12"/>
      <c r="H14" s="63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3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</sheetData>
  <mergeCells count="2">
    <mergeCell ref="A4:L4"/>
    <mergeCell ref="O4:P4"/>
  </mergeCells>
  <conditionalFormatting sqref="B3">
    <cfRule type="duplicateValues" dxfId="353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7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F9" sqref="F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403224</v>
      </c>
      <c r="B3" s="74" t="s">
        <v>129</v>
      </c>
      <c r="C3" s="9" t="s">
        <v>130</v>
      </c>
      <c r="D3" s="76" t="s">
        <v>60</v>
      </c>
      <c r="E3" s="13">
        <v>44523</v>
      </c>
      <c r="F3" s="76" t="s">
        <v>61</v>
      </c>
      <c r="G3" s="13">
        <v>44528</v>
      </c>
      <c r="H3" s="10" t="s">
        <v>62</v>
      </c>
      <c r="I3" s="1">
        <v>48</v>
      </c>
      <c r="J3" s="1">
        <v>35</v>
      </c>
      <c r="K3" s="1">
        <v>50</v>
      </c>
      <c r="L3" s="1">
        <v>11</v>
      </c>
      <c r="M3" s="80">
        <v>21</v>
      </c>
      <c r="N3" s="8">
        <v>21</v>
      </c>
      <c r="O3" s="64">
        <v>7000</v>
      </c>
      <c r="P3" s="65">
        <f>Table22457891011234567[[#This Row],[PEMBULATAN]]*O3</f>
        <v>147000</v>
      </c>
    </row>
    <row r="4" spans="1:16" ht="26.25" customHeight="1" x14ac:dyDescent="0.2">
      <c r="A4" s="14"/>
      <c r="B4" s="75"/>
      <c r="C4" s="9" t="s">
        <v>131</v>
      </c>
      <c r="D4" s="76" t="s">
        <v>60</v>
      </c>
      <c r="E4" s="13">
        <v>44523</v>
      </c>
      <c r="F4" s="76" t="s">
        <v>61</v>
      </c>
      <c r="G4" s="13">
        <v>44528</v>
      </c>
      <c r="H4" s="10" t="s">
        <v>62</v>
      </c>
      <c r="I4" s="1">
        <v>52</v>
      </c>
      <c r="J4" s="1">
        <v>47</v>
      </c>
      <c r="K4" s="1">
        <v>20</v>
      </c>
      <c r="L4" s="1">
        <v>5</v>
      </c>
      <c r="M4" s="80">
        <v>12.22</v>
      </c>
      <c r="N4" s="96">
        <v>12.22</v>
      </c>
      <c r="O4" s="64">
        <v>7000</v>
      </c>
      <c r="P4" s="65">
        <f>Table22457891011234567[[#This Row],[PEMBULATAN]]*O4</f>
        <v>85540</v>
      </c>
    </row>
    <row r="5" spans="1:16" ht="26.25" customHeight="1" x14ac:dyDescent="0.2">
      <c r="A5" s="14"/>
      <c r="B5" s="14"/>
      <c r="C5" s="9" t="s">
        <v>132</v>
      </c>
      <c r="D5" s="76" t="s">
        <v>60</v>
      </c>
      <c r="E5" s="13">
        <v>44523</v>
      </c>
      <c r="F5" s="76" t="s">
        <v>61</v>
      </c>
      <c r="G5" s="13">
        <v>44528</v>
      </c>
      <c r="H5" s="10" t="s">
        <v>62</v>
      </c>
      <c r="I5" s="1">
        <v>52</v>
      </c>
      <c r="J5" s="1">
        <v>38</v>
      </c>
      <c r="K5" s="1">
        <v>38</v>
      </c>
      <c r="L5" s="1">
        <v>18</v>
      </c>
      <c r="M5" s="80">
        <v>18.771999999999998</v>
      </c>
      <c r="N5" s="96">
        <v>18.771999999999998</v>
      </c>
      <c r="O5" s="64">
        <v>7000</v>
      </c>
      <c r="P5" s="65">
        <f>Table22457891011234567[[#This Row],[PEMBULATAN]]*O5</f>
        <v>131404</v>
      </c>
    </row>
    <row r="6" spans="1:16" ht="26.25" customHeight="1" x14ac:dyDescent="0.2">
      <c r="A6" s="14"/>
      <c r="B6" s="14"/>
      <c r="C6" s="73" t="s">
        <v>133</v>
      </c>
      <c r="D6" s="78" t="s">
        <v>60</v>
      </c>
      <c r="E6" s="13">
        <v>44523</v>
      </c>
      <c r="F6" s="76" t="s">
        <v>61</v>
      </c>
      <c r="G6" s="13">
        <v>44528</v>
      </c>
      <c r="H6" s="77" t="s">
        <v>62</v>
      </c>
      <c r="I6" s="16">
        <v>73</v>
      </c>
      <c r="J6" s="16">
        <v>18</v>
      </c>
      <c r="K6" s="16">
        <v>18</v>
      </c>
      <c r="L6" s="16">
        <v>13</v>
      </c>
      <c r="M6" s="81">
        <v>5.9130000000000003</v>
      </c>
      <c r="N6" s="72">
        <v>13</v>
      </c>
      <c r="O6" s="64">
        <v>7000</v>
      </c>
      <c r="P6" s="65">
        <f>Table22457891011234567[[#This Row],[PEMBULATAN]]*O6</f>
        <v>91000</v>
      </c>
    </row>
    <row r="7" spans="1:16" ht="22.5" customHeight="1" x14ac:dyDescent="0.2">
      <c r="A7" s="117" t="s">
        <v>30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9"/>
      <c r="M7" s="79">
        <f>SUBTOTAL(109,Table22457891011234567[KG VOLUME])</f>
        <v>57.905000000000001</v>
      </c>
      <c r="N7" s="68">
        <f>SUM(N3:N6)</f>
        <v>64.99199999999999</v>
      </c>
      <c r="O7" s="120">
        <f>SUM(P3:P6)</f>
        <v>454944</v>
      </c>
      <c r="P7" s="121"/>
    </row>
    <row r="8" spans="1:16" ht="18" customHeight="1" x14ac:dyDescent="0.2">
      <c r="A8" s="86"/>
      <c r="B8" s="56" t="s">
        <v>42</v>
      </c>
      <c r="C8" s="55"/>
      <c r="D8" s="57" t="s">
        <v>43</v>
      </c>
      <c r="E8" s="86"/>
      <c r="F8" s="86"/>
      <c r="G8" s="86"/>
      <c r="H8" s="86"/>
      <c r="I8" s="86"/>
      <c r="J8" s="86"/>
      <c r="K8" s="86"/>
      <c r="L8" s="86"/>
      <c r="M8" s="87"/>
      <c r="N8" s="88" t="s">
        <v>52</v>
      </c>
      <c r="O8" s="89"/>
      <c r="P8" s="89">
        <v>0</v>
      </c>
    </row>
    <row r="9" spans="1:16" ht="18" customHeight="1" thickBot="1" x14ac:dyDescent="0.25">
      <c r="A9" s="86"/>
      <c r="B9" s="56"/>
      <c r="C9" s="55"/>
      <c r="D9" s="57"/>
      <c r="E9" s="86"/>
      <c r="F9" s="86"/>
      <c r="G9" s="86"/>
      <c r="H9" s="86"/>
      <c r="I9" s="86"/>
      <c r="J9" s="86"/>
      <c r="K9" s="86"/>
      <c r="L9" s="86"/>
      <c r="M9" s="87"/>
      <c r="N9" s="90" t="s">
        <v>53</v>
      </c>
      <c r="O9" s="91"/>
      <c r="P9" s="91">
        <f>O7-P8</f>
        <v>454944</v>
      </c>
    </row>
    <row r="10" spans="1:16" ht="18" customHeight="1" x14ac:dyDescent="0.2">
      <c r="A10" s="11"/>
      <c r="H10" s="63"/>
      <c r="N10" s="62" t="s">
        <v>31</v>
      </c>
      <c r="P10" s="69">
        <f>P9*1%</f>
        <v>4549.4400000000005</v>
      </c>
    </row>
    <row r="11" spans="1:16" ht="18" customHeight="1" thickBot="1" x14ac:dyDescent="0.25">
      <c r="A11" s="11"/>
      <c r="H11" s="63"/>
      <c r="N11" s="62" t="s">
        <v>54</v>
      </c>
      <c r="P11" s="71">
        <f>P9*2%</f>
        <v>9098.880000000001</v>
      </c>
    </row>
    <row r="12" spans="1:16" ht="18" customHeight="1" x14ac:dyDescent="0.2">
      <c r="A12" s="11"/>
      <c r="H12" s="63"/>
      <c r="N12" s="66" t="s">
        <v>32</v>
      </c>
      <c r="O12" s="67"/>
      <c r="P12" s="70">
        <f>P9+P10-P11</f>
        <v>450394.56</v>
      </c>
    </row>
    <row r="14" spans="1:16" x14ac:dyDescent="0.2">
      <c r="A14" s="11"/>
      <c r="H14" s="63"/>
      <c r="P14" s="71"/>
    </row>
    <row r="15" spans="1:16" x14ac:dyDescent="0.2">
      <c r="A15" s="11"/>
      <c r="H15" s="63"/>
      <c r="O15" s="58"/>
      <c r="P15" s="71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</sheetData>
  <mergeCells count="2">
    <mergeCell ref="A7:L7"/>
    <mergeCell ref="O7:P7"/>
  </mergeCells>
  <conditionalFormatting sqref="B3">
    <cfRule type="duplicateValues" dxfId="337" priority="2"/>
  </conditionalFormatting>
  <conditionalFormatting sqref="B4">
    <cfRule type="duplicateValues" dxfId="336" priority="1"/>
  </conditionalFormatting>
  <conditionalFormatting sqref="B5:B6">
    <cfRule type="duplicateValues" dxfId="335" priority="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8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39" sqref="O39"/>
    </sheetView>
  </sheetViews>
  <sheetFormatPr defaultRowHeight="15" x14ac:dyDescent="0.2"/>
  <cols>
    <col min="1" max="1" width="8" style="4" customWidth="1"/>
    <col min="2" max="2" width="19.5703125" style="2" customWidth="1"/>
    <col min="3" max="3" width="15.42578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403098</v>
      </c>
      <c r="B3" s="74" t="s">
        <v>134</v>
      </c>
      <c r="C3" s="9" t="s">
        <v>135</v>
      </c>
      <c r="D3" s="76" t="s">
        <v>60</v>
      </c>
      <c r="E3" s="13">
        <v>44523</v>
      </c>
      <c r="F3" s="76" t="s">
        <v>61</v>
      </c>
      <c r="G3" s="13">
        <v>44528</v>
      </c>
      <c r="H3" s="10" t="s">
        <v>62</v>
      </c>
      <c r="I3" s="1">
        <v>40</v>
      </c>
      <c r="J3" s="1">
        <v>31</v>
      </c>
      <c r="K3" s="1">
        <v>27</v>
      </c>
      <c r="L3" s="1">
        <v>10</v>
      </c>
      <c r="M3" s="80">
        <v>8.3699999999999992</v>
      </c>
      <c r="N3" s="8">
        <v>10</v>
      </c>
      <c r="O3" s="64">
        <v>7000</v>
      </c>
      <c r="P3" s="65">
        <f>Table224578910112345678[[#This Row],[PEMBULATAN]]*O3</f>
        <v>70000</v>
      </c>
    </row>
    <row r="4" spans="1:16" ht="26.25" customHeight="1" x14ac:dyDescent="0.2">
      <c r="A4" s="14"/>
      <c r="B4" s="75"/>
      <c r="C4" s="9" t="s">
        <v>136</v>
      </c>
      <c r="D4" s="76" t="s">
        <v>60</v>
      </c>
      <c r="E4" s="13">
        <v>44523</v>
      </c>
      <c r="F4" s="76" t="s">
        <v>61</v>
      </c>
      <c r="G4" s="13">
        <v>44528</v>
      </c>
      <c r="H4" s="10" t="s">
        <v>62</v>
      </c>
      <c r="I4" s="1">
        <v>55</v>
      </c>
      <c r="J4" s="1">
        <v>46</v>
      </c>
      <c r="K4" s="1">
        <v>10</v>
      </c>
      <c r="L4" s="1">
        <v>7</v>
      </c>
      <c r="M4" s="80">
        <v>6.3250000000000002</v>
      </c>
      <c r="N4" s="8">
        <v>8</v>
      </c>
      <c r="O4" s="64">
        <v>7000</v>
      </c>
      <c r="P4" s="65">
        <f>Table224578910112345678[[#This Row],[PEMBULATAN]]*O4</f>
        <v>56000</v>
      </c>
    </row>
    <row r="5" spans="1:16" ht="26.25" customHeight="1" x14ac:dyDescent="0.2">
      <c r="A5" s="14"/>
      <c r="B5" s="14"/>
      <c r="C5" s="9" t="s">
        <v>137</v>
      </c>
      <c r="D5" s="76" t="s">
        <v>60</v>
      </c>
      <c r="E5" s="13">
        <v>44523</v>
      </c>
      <c r="F5" s="76" t="s">
        <v>61</v>
      </c>
      <c r="G5" s="13">
        <v>44528</v>
      </c>
      <c r="H5" s="10" t="s">
        <v>62</v>
      </c>
      <c r="I5" s="1">
        <v>59</v>
      </c>
      <c r="J5" s="1">
        <v>45</v>
      </c>
      <c r="K5" s="1">
        <v>28</v>
      </c>
      <c r="L5" s="1">
        <v>9</v>
      </c>
      <c r="M5" s="80">
        <v>18.585000000000001</v>
      </c>
      <c r="N5" s="96">
        <v>18.585000000000001</v>
      </c>
      <c r="O5" s="64">
        <v>7000</v>
      </c>
      <c r="P5" s="65">
        <f>Table224578910112345678[[#This Row],[PEMBULATAN]]*O5</f>
        <v>130095</v>
      </c>
    </row>
    <row r="6" spans="1:16" ht="26.25" customHeight="1" x14ac:dyDescent="0.2">
      <c r="A6" s="14"/>
      <c r="B6" s="14"/>
      <c r="C6" s="73" t="s">
        <v>138</v>
      </c>
      <c r="D6" s="78" t="s">
        <v>60</v>
      </c>
      <c r="E6" s="13">
        <v>44523</v>
      </c>
      <c r="F6" s="76" t="s">
        <v>61</v>
      </c>
      <c r="G6" s="13">
        <v>44528</v>
      </c>
      <c r="H6" s="77" t="s">
        <v>62</v>
      </c>
      <c r="I6" s="16">
        <v>122</v>
      </c>
      <c r="J6" s="16">
        <v>33</v>
      </c>
      <c r="K6" s="16">
        <v>24</v>
      </c>
      <c r="L6" s="16">
        <v>12</v>
      </c>
      <c r="M6" s="81">
        <v>24.155999999999999</v>
      </c>
      <c r="N6" s="96">
        <v>24.155999999999999</v>
      </c>
      <c r="O6" s="64">
        <v>7000</v>
      </c>
      <c r="P6" s="65">
        <f>Table224578910112345678[[#This Row],[PEMBULATAN]]*O6</f>
        <v>169092</v>
      </c>
    </row>
    <row r="7" spans="1:16" ht="26.25" customHeight="1" x14ac:dyDescent="0.2">
      <c r="A7" s="14"/>
      <c r="B7" s="14"/>
      <c r="C7" s="73" t="s">
        <v>139</v>
      </c>
      <c r="D7" s="78" t="s">
        <v>60</v>
      </c>
      <c r="E7" s="13">
        <v>44523</v>
      </c>
      <c r="F7" s="76" t="s">
        <v>61</v>
      </c>
      <c r="G7" s="13">
        <v>44528</v>
      </c>
      <c r="H7" s="77" t="s">
        <v>62</v>
      </c>
      <c r="I7" s="16">
        <v>86</v>
      </c>
      <c r="J7" s="16">
        <v>49</v>
      </c>
      <c r="K7" s="16">
        <v>26</v>
      </c>
      <c r="L7" s="16">
        <v>15</v>
      </c>
      <c r="M7" s="81">
        <v>27.390999999999998</v>
      </c>
      <c r="N7" s="96">
        <v>28</v>
      </c>
      <c r="O7" s="64">
        <v>7000</v>
      </c>
      <c r="P7" s="65">
        <f>Table224578910112345678[[#This Row],[PEMBULATAN]]*O7</f>
        <v>196000</v>
      </c>
    </row>
    <row r="8" spans="1:16" ht="26.25" customHeight="1" x14ac:dyDescent="0.2">
      <c r="A8" s="14"/>
      <c r="B8" s="14"/>
      <c r="C8" s="73" t="s">
        <v>140</v>
      </c>
      <c r="D8" s="78" t="s">
        <v>60</v>
      </c>
      <c r="E8" s="13">
        <v>44523</v>
      </c>
      <c r="F8" s="76" t="s">
        <v>61</v>
      </c>
      <c r="G8" s="13">
        <v>44528</v>
      </c>
      <c r="H8" s="77" t="s">
        <v>62</v>
      </c>
      <c r="I8" s="16">
        <v>95</v>
      </c>
      <c r="J8" s="16">
        <v>61</v>
      </c>
      <c r="K8" s="16">
        <v>18</v>
      </c>
      <c r="L8" s="16">
        <v>35</v>
      </c>
      <c r="M8" s="81">
        <v>26.077500000000001</v>
      </c>
      <c r="N8" s="96">
        <v>35</v>
      </c>
      <c r="O8" s="64">
        <v>7000</v>
      </c>
      <c r="P8" s="65">
        <f>Table224578910112345678[[#This Row],[PEMBULATAN]]*O8</f>
        <v>245000</v>
      </c>
    </row>
    <row r="9" spans="1:16" ht="26.25" customHeight="1" x14ac:dyDescent="0.2">
      <c r="A9" s="14"/>
      <c r="B9" s="14"/>
      <c r="C9" s="73" t="s">
        <v>141</v>
      </c>
      <c r="D9" s="78" t="s">
        <v>60</v>
      </c>
      <c r="E9" s="13">
        <v>44523</v>
      </c>
      <c r="F9" s="76" t="s">
        <v>61</v>
      </c>
      <c r="G9" s="13">
        <v>44528</v>
      </c>
      <c r="H9" s="77" t="s">
        <v>62</v>
      </c>
      <c r="I9" s="16">
        <v>107</v>
      </c>
      <c r="J9" s="16">
        <v>66</v>
      </c>
      <c r="K9" s="16">
        <v>16</v>
      </c>
      <c r="L9" s="16">
        <v>18</v>
      </c>
      <c r="M9" s="81">
        <v>28.248000000000001</v>
      </c>
      <c r="N9" s="96">
        <v>28.248000000000001</v>
      </c>
      <c r="O9" s="64">
        <v>7000</v>
      </c>
      <c r="P9" s="65">
        <f>Table224578910112345678[[#This Row],[PEMBULATAN]]*O9</f>
        <v>197736</v>
      </c>
    </row>
    <row r="10" spans="1:16" ht="26.25" customHeight="1" x14ac:dyDescent="0.2">
      <c r="A10" s="14"/>
      <c r="B10" s="14"/>
      <c r="C10" s="73" t="s">
        <v>142</v>
      </c>
      <c r="D10" s="78" t="s">
        <v>60</v>
      </c>
      <c r="E10" s="13">
        <v>44523</v>
      </c>
      <c r="F10" s="76" t="s">
        <v>61</v>
      </c>
      <c r="G10" s="13">
        <v>44528</v>
      </c>
      <c r="H10" s="77" t="s">
        <v>62</v>
      </c>
      <c r="I10" s="16">
        <v>175</v>
      </c>
      <c r="J10" s="16">
        <v>16</v>
      </c>
      <c r="K10" s="16">
        <v>10</v>
      </c>
      <c r="L10" s="16">
        <v>7</v>
      </c>
      <c r="M10" s="81">
        <v>7</v>
      </c>
      <c r="N10" s="96">
        <v>7</v>
      </c>
      <c r="O10" s="64">
        <v>7000</v>
      </c>
      <c r="P10" s="65">
        <f>Table224578910112345678[[#This Row],[PEMBULATAN]]*O10</f>
        <v>49000</v>
      </c>
    </row>
    <row r="11" spans="1:16" ht="26.25" customHeight="1" x14ac:dyDescent="0.2">
      <c r="A11" s="14"/>
      <c r="B11" s="14"/>
      <c r="C11" s="73" t="s">
        <v>143</v>
      </c>
      <c r="D11" s="78" t="s">
        <v>60</v>
      </c>
      <c r="E11" s="13">
        <v>44523</v>
      </c>
      <c r="F11" s="76" t="s">
        <v>61</v>
      </c>
      <c r="G11" s="13">
        <v>44528</v>
      </c>
      <c r="H11" s="77" t="s">
        <v>62</v>
      </c>
      <c r="I11" s="16">
        <v>58</v>
      </c>
      <c r="J11" s="16">
        <v>43</v>
      </c>
      <c r="K11" s="16">
        <v>20</v>
      </c>
      <c r="L11" s="16">
        <v>10</v>
      </c>
      <c r="M11" s="81">
        <v>12.47</v>
      </c>
      <c r="N11" s="96">
        <v>13</v>
      </c>
      <c r="O11" s="64">
        <v>7000</v>
      </c>
      <c r="P11" s="65">
        <f>Table224578910112345678[[#This Row],[PEMBULATAN]]*O11</f>
        <v>91000</v>
      </c>
    </row>
    <row r="12" spans="1:16" ht="26.25" customHeight="1" x14ac:dyDescent="0.2">
      <c r="A12" s="14"/>
      <c r="B12" s="14"/>
      <c r="C12" s="73" t="s">
        <v>144</v>
      </c>
      <c r="D12" s="78" t="s">
        <v>60</v>
      </c>
      <c r="E12" s="13">
        <v>44523</v>
      </c>
      <c r="F12" s="76" t="s">
        <v>61</v>
      </c>
      <c r="G12" s="13">
        <v>44528</v>
      </c>
      <c r="H12" s="77" t="s">
        <v>62</v>
      </c>
      <c r="I12" s="16">
        <v>86</v>
      </c>
      <c r="J12" s="16">
        <v>57</v>
      </c>
      <c r="K12" s="16">
        <v>21</v>
      </c>
      <c r="L12" s="16">
        <v>10</v>
      </c>
      <c r="M12" s="81">
        <v>25.735499999999998</v>
      </c>
      <c r="N12" s="96">
        <v>25.735499999999998</v>
      </c>
      <c r="O12" s="64">
        <v>7000</v>
      </c>
      <c r="P12" s="65">
        <f>Table224578910112345678[[#This Row],[PEMBULATAN]]*O12</f>
        <v>180148.5</v>
      </c>
    </row>
    <row r="13" spans="1:16" ht="26.25" customHeight="1" x14ac:dyDescent="0.2">
      <c r="A13" s="14"/>
      <c r="B13" s="14"/>
      <c r="C13" s="73" t="s">
        <v>145</v>
      </c>
      <c r="D13" s="78" t="s">
        <v>60</v>
      </c>
      <c r="E13" s="13">
        <v>44523</v>
      </c>
      <c r="F13" s="76" t="s">
        <v>61</v>
      </c>
      <c r="G13" s="13">
        <v>44528</v>
      </c>
      <c r="H13" s="77" t="s">
        <v>62</v>
      </c>
      <c r="I13" s="16">
        <v>67</v>
      </c>
      <c r="J13" s="16">
        <v>38</v>
      </c>
      <c r="K13" s="16">
        <v>18</v>
      </c>
      <c r="L13" s="16">
        <v>7</v>
      </c>
      <c r="M13" s="81">
        <v>11.457000000000001</v>
      </c>
      <c r="N13" s="96">
        <v>12</v>
      </c>
      <c r="O13" s="64">
        <v>7000</v>
      </c>
      <c r="P13" s="65">
        <f>Table224578910112345678[[#This Row],[PEMBULATAN]]*O13</f>
        <v>84000</v>
      </c>
    </row>
    <row r="14" spans="1:16" ht="26.25" customHeight="1" x14ac:dyDescent="0.2">
      <c r="A14" s="14"/>
      <c r="B14" s="14"/>
      <c r="C14" s="73" t="s">
        <v>146</v>
      </c>
      <c r="D14" s="78" t="s">
        <v>60</v>
      </c>
      <c r="E14" s="13">
        <v>44523</v>
      </c>
      <c r="F14" s="76" t="s">
        <v>61</v>
      </c>
      <c r="G14" s="13">
        <v>44528</v>
      </c>
      <c r="H14" s="77" t="s">
        <v>62</v>
      </c>
      <c r="I14" s="16">
        <v>50</v>
      </c>
      <c r="J14" s="16">
        <v>35</v>
      </c>
      <c r="K14" s="16">
        <v>28</v>
      </c>
      <c r="L14" s="16">
        <v>10</v>
      </c>
      <c r="M14" s="81">
        <v>12.25</v>
      </c>
      <c r="N14" s="96">
        <v>12.25</v>
      </c>
      <c r="O14" s="64">
        <v>7000</v>
      </c>
      <c r="P14" s="65">
        <f>Table224578910112345678[[#This Row],[PEMBULATAN]]*O14</f>
        <v>85750</v>
      </c>
    </row>
    <row r="15" spans="1:16" ht="26.25" customHeight="1" x14ac:dyDescent="0.2">
      <c r="A15" s="14"/>
      <c r="B15" s="14"/>
      <c r="C15" s="73" t="s">
        <v>147</v>
      </c>
      <c r="D15" s="78" t="s">
        <v>60</v>
      </c>
      <c r="E15" s="13">
        <v>44523</v>
      </c>
      <c r="F15" s="76" t="s">
        <v>61</v>
      </c>
      <c r="G15" s="13">
        <v>44528</v>
      </c>
      <c r="H15" s="77" t="s">
        <v>62</v>
      </c>
      <c r="I15" s="16">
        <v>45</v>
      </c>
      <c r="J15" s="16">
        <v>38</v>
      </c>
      <c r="K15" s="16">
        <v>20</v>
      </c>
      <c r="L15" s="16">
        <v>7</v>
      </c>
      <c r="M15" s="81">
        <v>8.5500000000000007</v>
      </c>
      <c r="N15" s="96">
        <v>8.5500000000000007</v>
      </c>
      <c r="O15" s="64">
        <v>7000</v>
      </c>
      <c r="P15" s="65">
        <f>Table224578910112345678[[#This Row],[PEMBULATAN]]*O15</f>
        <v>59850.000000000007</v>
      </c>
    </row>
    <row r="16" spans="1:16" ht="26.25" customHeight="1" x14ac:dyDescent="0.2">
      <c r="A16" s="14"/>
      <c r="B16" s="14"/>
      <c r="C16" s="73" t="s">
        <v>148</v>
      </c>
      <c r="D16" s="78" t="s">
        <v>60</v>
      </c>
      <c r="E16" s="13">
        <v>44523</v>
      </c>
      <c r="F16" s="76" t="s">
        <v>61</v>
      </c>
      <c r="G16" s="13">
        <v>44528</v>
      </c>
      <c r="H16" s="77" t="s">
        <v>62</v>
      </c>
      <c r="I16" s="16">
        <v>36</v>
      </c>
      <c r="J16" s="16">
        <v>31</v>
      </c>
      <c r="K16" s="16">
        <v>31</v>
      </c>
      <c r="L16" s="16">
        <v>7</v>
      </c>
      <c r="M16" s="81">
        <v>8.6489999999999991</v>
      </c>
      <c r="N16" s="96">
        <v>8.6489999999999991</v>
      </c>
      <c r="O16" s="64">
        <v>7000</v>
      </c>
      <c r="P16" s="65">
        <f>Table224578910112345678[[#This Row],[PEMBULATAN]]*O16</f>
        <v>60542.999999999993</v>
      </c>
    </row>
    <row r="17" spans="1:16" ht="26.25" customHeight="1" x14ac:dyDescent="0.2">
      <c r="A17" s="14"/>
      <c r="B17" s="14"/>
      <c r="C17" s="73" t="s">
        <v>149</v>
      </c>
      <c r="D17" s="78" t="s">
        <v>60</v>
      </c>
      <c r="E17" s="13">
        <v>44523</v>
      </c>
      <c r="F17" s="76" t="s">
        <v>61</v>
      </c>
      <c r="G17" s="13">
        <v>44528</v>
      </c>
      <c r="H17" s="77" t="s">
        <v>62</v>
      </c>
      <c r="I17" s="16">
        <v>116</v>
      </c>
      <c r="J17" s="16">
        <v>82</v>
      </c>
      <c r="K17" s="16">
        <v>18</v>
      </c>
      <c r="L17" s="16">
        <v>10</v>
      </c>
      <c r="M17" s="81">
        <v>42.804000000000002</v>
      </c>
      <c r="N17" s="96">
        <v>42.804000000000002</v>
      </c>
      <c r="O17" s="64">
        <v>7000</v>
      </c>
      <c r="P17" s="65">
        <f>Table224578910112345678[[#This Row],[PEMBULATAN]]*O17</f>
        <v>299628</v>
      </c>
    </row>
    <row r="18" spans="1:16" ht="26.25" customHeight="1" x14ac:dyDescent="0.2">
      <c r="A18" s="14"/>
      <c r="B18" s="14"/>
      <c r="C18" s="73" t="s">
        <v>150</v>
      </c>
      <c r="D18" s="78" t="s">
        <v>60</v>
      </c>
      <c r="E18" s="13">
        <v>44523</v>
      </c>
      <c r="F18" s="76" t="s">
        <v>61</v>
      </c>
      <c r="G18" s="13">
        <v>44528</v>
      </c>
      <c r="H18" s="77" t="s">
        <v>62</v>
      </c>
      <c r="I18" s="16">
        <v>85</v>
      </c>
      <c r="J18" s="16">
        <v>50</v>
      </c>
      <c r="K18" s="16">
        <v>35</v>
      </c>
      <c r="L18" s="16">
        <v>20</v>
      </c>
      <c r="M18" s="81">
        <v>37.1875</v>
      </c>
      <c r="N18" s="96">
        <v>37.1875</v>
      </c>
      <c r="O18" s="64">
        <v>7000</v>
      </c>
      <c r="P18" s="65">
        <f>Table224578910112345678[[#This Row],[PEMBULATAN]]*O18</f>
        <v>260312.5</v>
      </c>
    </row>
    <row r="19" spans="1:16" ht="26.25" customHeight="1" x14ac:dyDescent="0.2">
      <c r="A19" s="14"/>
      <c r="B19" s="14"/>
      <c r="C19" s="73" t="s">
        <v>151</v>
      </c>
      <c r="D19" s="78" t="s">
        <v>60</v>
      </c>
      <c r="E19" s="13">
        <v>44523</v>
      </c>
      <c r="F19" s="76" t="s">
        <v>61</v>
      </c>
      <c r="G19" s="13">
        <v>44528</v>
      </c>
      <c r="H19" s="77" t="s">
        <v>62</v>
      </c>
      <c r="I19" s="16">
        <v>35</v>
      </c>
      <c r="J19" s="16">
        <v>31</v>
      </c>
      <c r="K19" s="16">
        <v>31</v>
      </c>
      <c r="L19" s="16">
        <v>6</v>
      </c>
      <c r="M19" s="81">
        <v>8.4087499999999995</v>
      </c>
      <c r="N19" s="96">
        <v>9</v>
      </c>
      <c r="O19" s="64">
        <v>7000</v>
      </c>
      <c r="P19" s="65">
        <f>Table224578910112345678[[#This Row],[PEMBULATAN]]*O19</f>
        <v>63000</v>
      </c>
    </row>
    <row r="20" spans="1:16" ht="26.25" customHeight="1" x14ac:dyDescent="0.2">
      <c r="A20" s="14"/>
      <c r="B20" s="14"/>
      <c r="C20" s="73" t="s">
        <v>152</v>
      </c>
      <c r="D20" s="78" t="s">
        <v>60</v>
      </c>
      <c r="E20" s="13">
        <v>44523</v>
      </c>
      <c r="F20" s="76" t="s">
        <v>61</v>
      </c>
      <c r="G20" s="13">
        <v>44528</v>
      </c>
      <c r="H20" s="77" t="s">
        <v>62</v>
      </c>
      <c r="I20" s="16">
        <v>71</v>
      </c>
      <c r="J20" s="16">
        <v>52</v>
      </c>
      <c r="K20" s="16">
        <v>52</v>
      </c>
      <c r="L20" s="16">
        <v>13</v>
      </c>
      <c r="M20" s="81">
        <v>47.996000000000002</v>
      </c>
      <c r="N20" s="96">
        <v>47.996000000000002</v>
      </c>
      <c r="O20" s="64">
        <v>7000</v>
      </c>
      <c r="P20" s="65">
        <f>Table224578910112345678[[#This Row],[PEMBULATAN]]*O20</f>
        <v>335972</v>
      </c>
    </row>
    <row r="21" spans="1:16" ht="26.25" customHeight="1" x14ac:dyDescent="0.2">
      <c r="A21" s="14"/>
      <c r="B21" s="14"/>
      <c r="C21" s="73" t="s">
        <v>153</v>
      </c>
      <c r="D21" s="78" t="s">
        <v>60</v>
      </c>
      <c r="E21" s="13">
        <v>44523</v>
      </c>
      <c r="F21" s="76" t="s">
        <v>61</v>
      </c>
      <c r="G21" s="13">
        <v>44528</v>
      </c>
      <c r="H21" s="77" t="s">
        <v>62</v>
      </c>
      <c r="I21" s="16">
        <v>51</v>
      </c>
      <c r="J21" s="16">
        <v>41</v>
      </c>
      <c r="K21" s="16">
        <v>17</v>
      </c>
      <c r="L21" s="16">
        <v>9</v>
      </c>
      <c r="M21" s="81">
        <v>8.8867499999999993</v>
      </c>
      <c r="N21" s="96">
        <v>9</v>
      </c>
      <c r="O21" s="64">
        <v>7000</v>
      </c>
      <c r="P21" s="65">
        <f>Table224578910112345678[[#This Row],[PEMBULATAN]]*O21</f>
        <v>63000</v>
      </c>
    </row>
    <row r="22" spans="1:16" ht="26.25" customHeight="1" x14ac:dyDescent="0.2">
      <c r="A22" s="14"/>
      <c r="B22" s="14"/>
      <c r="C22" s="73" t="s">
        <v>154</v>
      </c>
      <c r="D22" s="78" t="s">
        <v>60</v>
      </c>
      <c r="E22" s="13">
        <v>44523</v>
      </c>
      <c r="F22" s="76" t="s">
        <v>61</v>
      </c>
      <c r="G22" s="13">
        <v>44528</v>
      </c>
      <c r="H22" s="77" t="s">
        <v>62</v>
      </c>
      <c r="I22" s="16">
        <v>49</v>
      </c>
      <c r="J22" s="16">
        <v>25</v>
      </c>
      <c r="K22" s="16">
        <v>13</v>
      </c>
      <c r="L22" s="16">
        <v>3</v>
      </c>
      <c r="M22" s="81">
        <v>3.9812500000000002</v>
      </c>
      <c r="N22" s="96">
        <v>3.9812500000000002</v>
      </c>
      <c r="O22" s="64">
        <v>7000</v>
      </c>
      <c r="P22" s="65">
        <f>Table224578910112345678[[#This Row],[PEMBULATAN]]*O22</f>
        <v>27868.75</v>
      </c>
    </row>
    <row r="23" spans="1:16" ht="26.25" customHeight="1" x14ac:dyDescent="0.2">
      <c r="A23" s="14"/>
      <c r="B23" s="14"/>
      <c r="C23" s="73" t="s">
        <v>155</v>
      </c>
      <c r="D23" s="78" t="s">
        <v>60</v>
      </c>
      <c r="E23" s="13">
        <v>44523</v>
      </c>
      <c r="F23" s="76" t="s">
        <v>61</v>
      </c>
      <c r="G23" s="13">
        <v>44528</v>
      </c>
      <c r="H23" s="77" t="s">
        <v>62</v>
      </c>
      <c r="I23" s="16">
        <v>51</v>
      </c>
      <c r="J23" s="16">
        <v>40</v>
      </c>
      <c r="K23" s="16">
        <v>35</v>
      </c>
      <c r="L23" s="16">
        <v>7</v>
      </c>
      <c r="M23" s="81">
        <v>17.850000000000001</v>
      </c>
      <c r="N23" s="96">
        <v>17.850000000000001</v>
      </c>
      <c r="O23" s="64">
        <v>7000</v>
      </c>
      <c r="P23" s="65">
        <f>Table224578910112345678[[#This Row],[PEMBULATAN]]*O23</f>
        <v>124950.00000000001</v>
      </c>
    </row>
    <row r="24" spans="1:16" ht="26.25" customHeight="1" x14ac:dyDescent="0.2">
      <c r="A24" s="14"/>
      <c r="B24" s="14"/>
      <c r="C24" s="73" t="s">
        <v>156</v>
      </c>
      <c r="D24" s="78" t="s">
        <v>60</v>
      </c>
      <c r="E24" s="13">
        <v>44523</v>
      </c>
      <c r="F24" s="76" t="s">
        <v>61</v>
      </c>
      <c r="G24" s="13">
        <v>44528</v>
      </c>
      <c r="H24" s="77" t="s">
        <v>62</v>
      </c>
      <c r="I24" s="16">
        <v>55</v>
      </c>
      <c r="J24" s="16">
        <v>40</v>
      </c>
      <c r="K24" s="16">
        <v>28</v>
      </c>
      <c r="L24" s="16">
        <v>22</v>
      </c>
      <c r="M24" s="81">
        <v>15.4</v>
      </c>
      <c r="N24" s="96">
        <v>23</v>
      </c>
      <c r="O24" s="64">
        <v>7000</v>
      </c>
      <c r="P24" s="65">
        <f>Table224578910112345678[[#This Row],[PEMBULATAN]]*O24</f>
        <v>161000</v>
      </c>
    </row>
    <row r="25" spans="1:16" ht="26.25" customHeight="1" x14ac:dyDescent="0.2">
      <c r="A25" s="14"/>
      <c r="B25" s="14"/>
      <c r="C25" s="73" t="s">
        <v>157</v>
      </c>
      <c r="D25" s="78" t="s">
        <v>60</v>
      </c>
      <c r="E25" s="13">
        <v>44523</v>
      </c>
      <c r="F25" s="76" t="s">
        <v>61</v>
      </c>
      <c r="G25" s="13">
        <v>44528</v>
      </c>
      <c r="H25" s="77" t="s">
        <v>62</v>
      </c>
      <c r="I25" s="16">
        <v>75</v>
      </c>
      <c r="J25" s="16">
        <v>75</v>
      </c>
      <c r="K25" s="16">
        <v>26</v>
      </c>
      <c r="L25" s="16">
        <v>16</v>
      </c>
      <c r="M25" s="81">
        <v>36.5625</v>
      </c>
      <c r="N25" s="96">
        <v>36.5625</v>
      </c>
      <c r="O25" s="64">
        <v>7000</v>
      </c>
      <c r="P25" s="65">
        <f>Table224578910112345678[[#This Row],[PEMBULATAN]]*O25</f>
        <v>255937.5</v>
      </c>
    </row>
    <row r="26" spans="1:16" ht="26.25" customHeight="1" x14ac:dyDescent="0.2">
      <c r="A26" s="14"/>
      <c r="B26" s="14"/>
      <c r="C26" s="73" t="s">
        <v>158</v>
      </c>
      <c r="D26" s="78" t="s">
        <v>60</v>
      </c>
      <c r="E26" s="13">
        <v>44523</v>
      </c>
      <c r="F26" s="76" t="s">
        <v>61</v>
      </c>
      <c r="G26" s="13">
        <v>44528</v>
      </c>
      <c r="H26" s="77" t="s">
        <v>62</v>
      </c>
      <c r="I26" s="16">
        <v>40</v>
      </c>
      <c r="J26" s="16">
        <v>31</v>
      </c>
      <c r="K26" s="16">
        <v>24</v>
      </c>
      <c r="L26" s="16">
        <v>6</v>
      </c>
      <c r="M26" s="81">
        <v>7.44</v>
      </c>
      <c r="N26" s="96">
        <v>8</v>
      </c>
      <c r="O26" s="64">
        <v>7000</v>
      </c>
      <c r="P26" s="65">
        <f>Table224578910112345678[[#This Row],[PEMBULATAN]]*O26</f>
        <v>56000</v>
      </c>
    </row>
    <row r="27" spans="1:16" ht="26.25" customHeight="1" x14ac:dyDescent="0.2">
      <c r="A27" s="14"/>
      <c r="B27" s="14"/>
      <c r="C27" s="73" t="s">
        <v>159</v>
      </c>
      <c r="D27" s="78" t="s">
        <v>60</v>
      </c>
      <c r="E27" s="13">
        <v>44523</v>
      </c>
      <c r="F27" s="76" t="s">
        <v>61</v>
      </c>
      <c r="G27" s="13">
        <v>44528</v>
      </c>
      <c r="H27" s="77" t="s">
        <v>62</v>
      </c>
      <c r="I27" s="16">
        <v>40</v>
      </c>
      <c r="J27" s="16">
        <v>31</v>
      </c>
      <c r="K27" s="16">
        <v>26</v>
      </c>
      <c r="L27" s="16">
        <v>9</v>
      </c>
      <c r="M27" s="81">
        <v>8.06</v>
      </c>
      <c r="N27" s="96">
        <v>9</v>
      </c>
      <c r="O27" s="64">
        <v>7000</v>
      </c>
      <c r="P27" s="65">
        <f>Table224578910112345678[[#This Row],[PEMBULATAN]]*O27</f>
        <v>63000</v>
      </c>
    </row>
    <row r="28" spans="1:16" ht="26.25" customHeight="1" x14ac:dyDescent="0.2">
      <c r="A28" s="14"/>
      <c r="B28" s="14"/>
      <c r="C28" s="73" t="s">
        <v>160</v>
      </c>
      <c r="D28" s="78" t="s">
        <v>60</v>
      </c>
      <c r="E28" s="13">
        <v>44523</v>
      </c>
      <c r="F28" s="76" t="s">
        <v>61</v>
      </c>
      <c r="G28" s="13">
        <v>44528</v>
      </c>
      <c r="H28" s="77" t="s">
        <v>62</v>
      </c>
      <c r="I28" s="16">
        <v>35</v>
      </c>
      <c r="J28" s="16">
        <v>21</v>
      </c>
      <c r="K28" s="16">
        <v>21</v>
      </c>
      <c r="L28" s="16">
        <v>6</v>
      </c>
      <c r="M28" s="81">
        <v>3.8587500000000001</v>
      </c>
      <c r="N28" s="96">
        <v>6</v>
      </c>
      <c r="O28" s="64">
        <v>7000</v>
      </c>
      <c r="P28" s="65">
        <f>Table224578910112345678[[#This Row],[PEMBULATAN]]*O28</f>
        <v>42000</v>
      </c>
    </row>
    <row r="29" spans="1:16" ht="26.25" customHeight="1" x14ac:dyDescent="0.2">
      <c r="A29" s="14"/>
      <c r="B29" s="14"/>
      <c r="C29" s="73" t="s">
        <v>161</v>
      </c>
      <c r="D29" s="78" t="s">
        <v>60</v>
      </c>
      <c r="E29" s="13">
        <v>44523</v>
      </c>
      <c r="F29" s="76" t="s">
        <v>61</v>
      </c>
      <c r="G29" s="13">
        <v>44528</v>
      </c>
      <c r="H29" s="77" t="s">
        <v>62</v>
      </c>
      <c r="I29" s="16">
        <v>71</v>
      </c>
      <c r="J29" s="16">
        <v>46</v>
      </c>
      <c r="K29" s="16">
        <v>35</v>
      </c>
      <c r="L29" s="16">
        <v>14</v>
      </c>
      <c r="M29" s="81">
        <v>28.577500000000001</v>
      </c>
      <c r="N29" s="96">
        <v>28.577500000000001</v>
      </c>
      <c r="O29" s="64">
        <v>7000</v>
      </c>
      <c r="P29" s="65">
        <f>Table224578910112345678[[#This Row],[PEMBULATAN]]*O29</f>
        <v>200042.5</v>
      </c>
    </row>
    <row r="30" spans="1:16" ht="26.25" customHeight="1" x14ac:dyDescent="0.2">
      <c r="A30" s="14"/>
      <c r="B30" s="14"/>
      <c r="C30" s="73" t="s">
        <v>162</v>
      </c>
      <c r="D30" s="78" t="s">
        <v>60</v>
      </c>
      <c r="E30" s="13">
        <v>44523</v>
      </c>
      <c r="F30" s="76" t="s">
        <v>61</v>
      </c>
      <c r="G30" s="13">
        <v>44528</v>
      </c>
      <c r="H30" s="77" t="s">
        <v>62</v>
      </c>
      <c r="I30" s="16">
        <v>48</v>
      </c>
      <c r="J30" s="16">
        <v>40</v>
      </c>
      <c r="K30" s="16">
        <v>33</v>
      </c>
      <c r="L30" s="16">
        <v>18</v>
      </c>
      <c r="M30" s="81">
        <v>15.84</v>
      </c>
      <c r="N30" s="96">
        <v>18</v>
      </c>
      <c r="O30" s="64">
        <v>7000</v>
      </c>
      <c r="P30" s="65">
        <f>Table224578910112345678[[#This Row],[PEMBULATAN]]*O30</f>
        <v>126000</v>
      </c>
    </row>
    <row r="31" spans="1:16" ht="26.25" customHeight="1" x14ac:dyDescent="0.2">
      <c r="A31" s="14"/>
      <c r="B31" s="14"/>
      <c r="C31" s="73" t="s">
        <v>163</v>
      </c>
      <c r="D31" s="78" t="s">
        <v>60</v>
      </c>
      <c r="E31" s="13">
        <v>44523</v>
      </c>
      <c r="F31" s="76" t="s">
        <v>61</v>
      </c>
      <c r="G31" s="13">
        <v>44528</v>
      </c>
      <c r="H31" s="77" t="s">
        <v>62</v>
      </c>
      <c r="I31" s="16">
        <v>53</v>
      </c>
      <c r="J31" s="16">
        <v>38</v>
      </c>
      <c r="K31" s="16">
        <v>38</v>
      </c>
      <c r="L31" s="16">
        <v>20</v>
      </c>
      <c r="M31" s="81">
        <v>19.132999999999999</v>
      </c>
      <c r="N31" s="96">
        <v>20</v>
      </c>
      <c r="O31" s="64">
        <v>7000</v>
      </c>
      <c r="P31" s="65">
        <f>Table224578910112345678[[#This Row],[PEMBULATAN]]*O31</f>
        <v>140000</v>
      </c>
    </row>
    <row r="32" spans="1:16" ht="26.25" customHeight="1" x14ac:dyDescent="0.2">
      <c r="A32" s="14"/>
      <c r="B32" s="14"/>
      <c r="C32" s="73" t="s">
        <v>164</v>
      </c>
      <c r="D32" s="78" t="s">
        <v>60</v>
      </c>
      <c r="E32" s="13">
        <v>44523</v>
      </c>
      <c r="F32" s="76" t="s">
        <v>61</v>
      </c>
      <c r="G32" s="13">
        <v>44528</v>
      </c>
      <c r="H32" s="77" t="s">
        <v>62</v>
      </c>
      <c r="I32" s="16">
        <v>53</v>
      </c>
      <c r="J32" s="16">
        <v>51</v>
      </c>
      <c r="K32" s="16">
        <v>10</v>
      </c>
      <c r="L32" s="16">
        <v>7</v>
      </c>
      <c r="M32" s="81">
        <v>6.7575000000000003</v>
      </c>
      <c r="N32" s="96">
        <v>7</v>
      </c>
      <c r="O32" s="64">
        <v>7000</v>
      </c>
      <c r="P32" s="65">
        <f>Table224578910112345678[[#This Row],[PEMBULATAN]]*O32</f>
        <v>49000</v>
      </c>
    </row>
    <row r="33" spans="1:16" ht="26.25" customHeight="1" x14ac:dyDescent="0.2">
      <c r="A33" s="14"/>
      <c r="B33" s="97"/>
      <c r="C33" s="73" t="s">
        <v>165</v>
      </c>
      <c r="D33" s="78" t="s">
        <v>60</v>
      </c>
      <c r="E33" s="13">
        <v>44523</v>
      </c>
      <c r="F33" s="76" t="s">
        <v>61</v>
      </c>
      <c r="G33" s="13">
        <v>44528</v>
      </c>
      <c r="H33" s="77" t="s">
        <v>62</v>
      </c>
      <c r="I33" s="16">
        <v>62</v>
      </c>
      <c r="J33" s="16">
        <v>71</v>
      </c>
      <c r="K33" s="16">
        <v>45</v>
      </c>
      <c r="L33" s="16">
        <v>34</v>
      </c>
      <c r="M33" s="81">
        <v>49.522500000000001</v>
      </c>
      <c r="N33" s="96">
        <v>49.522500000000001</v>
      </c>
      <c r="O33" s="64">
        <v>7000</v>
      </c>
      <c r="P33" s="65">
        <f>Table224578910112345678[[#This Row],[PEMBULATAN]]*O33</f>
        <v>346657.5</v>
      </c>
    </row>
    <row r="34" spans="1:16" ht="26.25" customHeight="1" x14ac:dyDescent="0.2">
      <c r="A34" s="14"/>
      <c r="B34" s="14" t="s">
        <v>166</v>
      </c>
      <c r="C34" s="73" t="s">
        <v>167</v>
      </c>
      <c r="D34" s="78" t="s">
        <v>60</v>
      </c>
      <c r="E34" s="13">
        <v>44523</v>
      </c>
      <c r="F34" s="76" t="s">
        <v>61</v>
      </c>
      <c r="G34" s="13">
        <v>44528</v>
      </c>
      <c r="H34" s="77" t="s">
        <v>62</v>
      </c>
      <c r="I34" s="16">
        <v>103</v>
      </c>
      <c r="J34" s="16">
        <v>30</v>
      </c>
      <c r="K34" s="16">
        <v>21</v>
      </c>
      <c r="L34" s="16">
        <v>10</v>
      </c>
      <c r="M34" s="81">
        <v>16.2225</v>
      </c>
      <c r="N34" s="96">
        <v>16.2225</v>
      </c>
      <c r="O34" s="64">
        <v>7000</v>
      </c>
      <c r="P34" s="65">
        <f>Table224578910112345678[[#This Row],[PEMBULATAN]]*O34</f>
        <v>113557.5</v>
      </c>
    </row>
    <row r="35" spans="1:16" ht="26.25" customHeight="1" x14ac:dyDescent="0.2">
      <c r="A35" s="14"/>
      <c r="B35" s="14"/>
      <c r="C35" s="73" t="s">
        <v>168</v>
      </c>
      <c r="D35" s="78" t="s">
        <v>60</v>
      </c>
      <c r="E35" s="13">
        <v>44523</v>
      </c>
      <c r="F35" s="76" t="s">
        <v>61</v>
      </c>
      <c r="G35" s="13">
        <v>44528</v>
      </c>
      <c r="H35" s="77" t="s">
        <v>62</v>
      </c>
      <c r="I35" s="16">
        <v>62</v>
      </c>
      <c r="J35" s="16">
        <v>35</v>
      </c>
      <c r="K35" s="16">
        <v>20</v>
      </c>
      <c r="L35" s="16">
        <v>5</v>
      </c>
      <c r="M35" s="81">
        <v>10.85</v>
      </c>
      <c r="N35" s="96">
        <v>10.85</v>
      </c>
      <c r="O35" s="64">
        <v>7000</v>
      </c>
      <c r="P35" s="65">
        <f>Table224578910112345678[[#This Row],[PEMBULATAN]]*O35</f>
        <v>75950</v>
      </c>
    </row>
    <row r="36" spans="1:16" ht="26.25" customHeight="1" x14ac:dyDescent="0.2">
      <c r="A36" s="14"/>
      <c r="B36" s="14"/>
      <c r="C36" s="73" t="s">
        <v>169</v>
      </c>
      <c r="D36" s="78" t="s">
        <v>60</v>
      </c>
      <c r="E36" s="13">
        <v>44523</v>
      </c>
      <c r="F36" s="76" t="s">
        <v>61</v>
      </c>
      <c r="G36" s="13">
        <v>44528</v>
      </c>
      <c r="H36" s="77" t="s">
        <v>62</v>
      </c>
      <c r="I36" s="16">
        <v>31</v>
      </c>
      <c r="J36" s="16">
        <v>22</v>
      </c>
      <c r="K36" s="16">
        <v>20</v>
      </c>
      <c r="L36" s="16">
        <v>5</v>
      </c>
      <c r="M36" s="81">
        <v>3.41</v>
      </c>
      <c r="N36" s="96">
        <v>6</v>
      </c>
      <c r="O36" s="64">
        <v>7000</v>
      </c>
      <c r="P36" s="65">
        <f>Table224578910112345678[[#This Row],[PEMBULATAN]]*O36</f>
        <v>42000</v>
      </c>
    </row>
    <row r="37" spans="1:16" ht="26.25" customHeight="1" x14ac:dyDescent="0.2">
      <c r="A37" s="14"/>
      <c r="B37" s="14"/>
      <c r="C37" s="73" t="s">
        <v>170</v>
      </c>
      <c r="D37" s="78" t="s">
        <v>60</v>
      </c>
      <c r="E37" s="13">
        <v>44523</v>
      </c>
      <c r="F37" s="76" t="s">
        <v>61</v>
      </c>
      <c r="G37" s="13">
        <v>44528</v>
      </c>
      <c r="H37" s="77" t="s">
        <v>62</v>
      </c>
      <c r="I37" s="16">
        <v>31</v>
      </c>
      <c r="J37" s="16">
        <v>22</v>
      </c>
      <c r="K37" s="16">
        <v>10</v>
      </c>
      <c r="L37" s="16">
        <v>1</v>
      </c>
      <c r="M37" s="81">
        <v>1.7050000000000001</v>
      </c>
      <c r="N37" s="96">
        <v>1.7050000000000001</v>
      </c>
      <c r="O37" s="64">
        <v>7000</v>
      </c>
      <c r="P37" s="65">
        <f>Table224578910112345678[[#This Row],[PEMBULATAN]]*O37</f>
        <v>11935</v>
      </c>
    </row>
    <row r="38" spans="1:16" ht="22.5" customHeight="1" x14ac:dyDescent="0.2">
      <c r="A38" s="117" t="s">
        <v>30</v>
      </c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9"/>
      <c r="M38" s="79">
        <f>SUBTOTAL(109,Table224578910112345678[KG VOLUME])</f>
        <v>615.71749999999997</v>
      </c>
      <c r="N38" s="68">
        <f>SUM(N3:N37)</f>
        <v>647.43225000000007</v>
      </c>
      <c r="O38" s="120">
        <f>SUM(P3:P37)</f>
        <v>4532025.75</v>
      </c>
      <c r="P38" s="121"/>
    </row>
    <row r="39" spans="1:16" ht="18" customHeight="1" x14ac:dyDescent="0.2">
      <c r="A39" s="86"/>
      <c r="B39" s="56" t="s">
        <v>42</v>
      </c>
      <c r="C39" s="55"/>
      <c r="D39" s="57" t="s">
        <v>43</v>
      </c>
      <c r="E39" s="86"/>
      <c r="F39" s="86"/>
      <c r="G39" s="86"/>
      <c r="H39" s="86"/>
      <c r="I39" s="86"/>
      <c r="J39" s="86"/>
      <c r="K39" s="86"/>
      <c r="L39" s="86"/>
      <c r="M39" s="87"/>
      <c r="N39" s="88" t="s">
        <v>52</v>
      </c>
      <c r="O39" s="89"/>
      <c r="P39" s="89">
        <v>0</v>
      </c>
    </row>
    <row r="40" spans="1:16" ht="18" customHeight="1" thickBot="1" x14ac:dyDescent="0.25">
      <c r="A40" s="86"/>
      <c r="B40" s="56"/>
      <c r="C40" s="55"/>
      <c r="D40" s="57"/>
      <c r="E40" s="86"/>
      <c r="F40" s="86"/>
      <c r="G40" s="86"/>
      <c r="H40" s="86"/>
      <c r="I40" s="86"/>
      <c r="J40" s="86"/>
      <c r="K40" s="86"/>
      <c r="L40" s="86"/>
      <c r="M40" s="87"/>
      <c r="N40" s="90" t="s">
        <v>53</v>
      </c>
      <c r="O40" s="91"/>
      <c r="P40" s="91">
        <f>O38-P39</f>
        <v>4532025.75</v>
      </c>
    </row>
    <row r="41" spans="1:16" ht="18" customHeight="1" x14ac:dyDescent="0.2">
      <c r="A41" s="11"/>
      <c r="H41" s="63"/>
      <c r="N41" s="62" t="s">
        <v>31</v>
      </c>
      <c r="P41" s="69">
        <f>P40*1%</f>
        <v>45320.2575</v>
      </c>
    </row>
    <row r="42" spans="1:16" ht="18" customHeight="1" thickBot="1" x14ac:dyDescent="0.25">
      <c r="A42" s="11"/>
      <c r="H42" s="63"/>
      <c r="N42" s="62" t="s">
        <v>54</v>
      </c>
      <c r="P42" s="71">
        <f>P40*2%</f>
        <v>90640.514999999999</v>
      </c>
    </row>
    <row r="43" spans="1:16" ht="18" customHeight="1" x14ac:dyDescent="0.2">
      <c r="A43" s="11"/>
      <c r="H43" s="63"/>
      <c r="N43" s="66" t="s">
        <v>32</v>
      </c>
      <c r="O43" s="67"/>
      <c r="P43" s="70">
        <f>P40+P41-P42</f>
        <v>4486705.4925000006</v>
      </c>
    </row>
    <row r="45" spans="1:16" x14ac:dyDescent="0.2">
      <c r="A45" s="11"/>
      <c r="H45" s="63"/>
      <c r="P45" s="71"/>
    </row>
    <row r="46" spans="1:16" x14ac:dyDescent="0.2">
      <c r="A46" s="11"/>
      <c r="H46" s="63"/>
      <c r="O46" s="58"/>
      <c r="P46" s="71"/>
    </row>
    <row r="47" spans="1:16" s="3" customFormat="1" x14ac:dyDescent="0.25">
      <c r="A47" s="11"/>
      <c r="B47" s="2"/>
      <c r="C47" s="2"/>
      <c r="E47" s="12"/>
      <c r="H47" s="63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3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3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3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3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3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63"/>
      <c r="N53" s="15"/>
      <c r="O53" s="15"/>
      <c r="P53" s="15"/>
    </row>
    <row r="54" spans="1:16" s="3" customFormat="1" x14ac:dyDescent="0.25">
      <c r="A54" s="11"/>
      <c r="B54" s="2"/>
      <c r="C54" s="2"/>
      <c r="E54" s="12"/>
      <c r="H54" s="63"/>
      <c r="N54" s="15"/>
      <c r="O54" s="15"/>
      <c r="P54" s="15"/>
    </row>
    <row r="55" spans="1:16" s="3" customFormat="1" x14ac:dyDescent="0.25">
      <c r="A55" s="11"/>
      <c r="B55" s="2"/>
      <c r="C55" s="2"/>
      <c r="E55" s="12"/>
      <c r="H55" s="63"/>
      <c r="N55" s="15"/>
      <c r="O55" s="15"/>
      <c r="P55" s="15"/>
    </row>
    <row r="56" spans="1:16" s="3" customFormat="1" x14ac:dyDescent="0.25">
      <c r="A56" s="11"/>
      <c r="B56" s="2"/>
      <c r="C56" s="2"/>
      <c r="E56" s="12"/>
      <c r="H56" s="63"/>
      <c r="N56" s="15"/>
      <c r="O56" s="15"/>
      <c r="P56" s="15"/>
    </row>
    <row r="57" spans="1:16" s="3" customFormat="1" x14ac:dyDescent="0.25">
      <c r="A57" s="11"/>
      <c r="B57" s="2"/>
      <c r="C57" s="2"/>
      <c r="E57" s="12"/>
      <c r="H57" s="63"/>
      <c r="N57" s="15"/>
      <c r="O57" s="15"/>
      <c r="P57" s="15"/>
    </row>
    <row r="58" spans="1:16" s="3" customFormat="1" x14ac:dyDescent="0.25">
      <c r="A58" s="11"/>
      <c r="B58" s="2"/>
      <c r="C58" s="2"/>
      <c r="E58" s="12"/>
      <c r="H58" s="63"/>
      <c r="N58" s="15"/>
      <c r="O58" s="15"/>
      <c r="P58" s="15"/>
    </row>
  </sheetData>
  <mergeCells count="2">
    <mergeCell ref="A38:L38"/>
    <mergeCell ref="O38:P38"/>
  </mergeCells>
  <conditionalFormatting sqref="B3">
    <cfRule type="duplicateValues" dxfId="319" priority="2"/>
  </conditionalFormatting>
  <conditionalFormatting sqref="B4">
    <cfRule type="duplicateValues" dxfId="318" priority="1"/>
  </conditionalFormatting>
  <conditionalFormatting sqref="B5:B37">
    <cfRule type="duplicateValues" dxfId="317" priority="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6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M14" sqref="M1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403226</v>
      </c>
      <c r="B3" s="74" t="s">
        <v>171</v>
      </c>
      <c r="C3" s="9" t="s">
        <v>172</v>
      </c>
      <c r="D3" s="76" t="s">
        <v>60</v>
      </c>
      <c r="E3" s="13">
        <v>44524</v>
      </c>
      <c r="F3" s="76" t="s">
        <v>61</v>
      </c>
      <c r="G3" s="13">
        <v>44528</v>
      </c>
      <c r="H3" s="10" t="s">
        <v>62</v>
      </c>
      <c r="I3" s="1">
        <v>42</v>
      </c>
      <c r="J3" s="1">
        <v>32</v>
      </c>
      <c r="K3" s="1">
        <v>30</v>
      </c>
      <c r="L3" s="1">
        <v>8</v>
      </c>
      <c r="M3" s="80">
        <v>10.08</v>
      </c>
      <c r="N3" s="96">
        <v>10.08</v>
      </c>
      <c r="O3" s="64">
        <v>7000</v>
      </c>
      <c r="P3" s="65">
        <f>Table2245789101123456789[[#This Row],[PEMBULATAN]]*O3</f>
        <v>70560</v>
      </c>
    </row>
    <row r="4" spans="1:16" ht="26.25" customHeight="1" x14ac:dyDescent="0.2">
      <c r="A4" s="14"/>
      <c r="B4" s="75"/>
      <c r="C4" s="9" t="s">
        <v>173</v>
      </c>
      <c r="D4" s="76" t="s">
        <v>60</v>
      </c>
      <c r="E4" s="13">
        <v>44524</v>
      </c>
      <c r="F4" s="76" t="s">
        <v>61</v>
      </c>
      <c r="G4" s="13">
        <v>44528</v>
      </c>
      <c r="H4" s="10" t="s">
        <v>62</v>
      </c>
      <c r="I4" s="1">
        <v>42</v>
      </c>
      <c r="J4" s="1">
        <v>32</v>
      </c>
      <c r="K4" s="1">
        <v>20</v>
      </c>
      <c r="L4" s="1">
        <v>12</v>
      </c>
      <c r="M4" s="80">
        <v>6.72</v>
      </c>
      <c r="N4" s="96">
        <v>12</v>
      </c>
      <c r="O4" s="64">
        <v>7000</v>
      </c>
      <c r="P4" s="65">
        <f>Table2245789101123456789[[#This Row],[PEMBULATAN]]*O4</f>
        <v>84000</v>
      </c>
    </row>
    <row r="5" spans="1:16" ht="26.25" customHeight="1" x14ac:dyDescent="0.2">
      <c r="A5" s="14"/>
      <c r="B5" s="14"/>
      <c r="C5" s="9" t="s">
        <v>174</v>
      </c>
      <c r="D5" s="76" t="s">
        <v>60</v>
      </c>
      <c r="E5" s="13">
        <v>44524</v>
      </c>
      <c r="F5" s="76" t="s">
        <v>61</v>
      </c>
      <c r="G5" s="13">
        <v>44528</v>
      </c>
      <c r="H5" s="10" t="s">
        <v>62</v>
      </c>
      <c r="I5" s="1">
        <v>47</v>
      </c>
      <c r="J5" s="1">
        <v>57</v>
      </c>
      <c r="K5" s="1">
        <v>25</v>
      </c>
      <c r="L5" s="1">
        <v>5</v>
      </c>
      <c r="M5" s="80">
        <v>16.743749999999999</v>
      </c>
      <c r="N5" s="96">
        <v>16.743749999999999</v>
      </c>
      <c r="O5" s="64">
        <v>7000</v>
      </c>
      <c r="P5" s="65">
        <f>Table2245789101123456789[[#This Row],[PEMBULATAN]]*O5</f>
        <v>117206.24999999999</v>
      </c>
    </row>
    <row r="6" spans="1:16" ht="22.5" customHeight="1" x14ac:dyDescent="0.2">
      <c r="A6" s="117" t="s">
        <v>30</v>
      </c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9"/>
      <c r="M6" s="79">
        <f>SUBTOTAL(109,Table2245789101123456789[KG VOLUME])</f>
        <v>33.543750000000003</v>
      </c>
      <c r="N6" s="68">
        <f>SUM(N3:N5)</f>
        <v>38.823749999999997</v>
      </c>
      <c r="O6" s="120">
        <f>SUM(P3:P5)</f>
        <v>271766.25</v>
      </c>
      <c r="P6" s="121"/>
    </row>
    <row r="7" spans="1:16" ht="18" customHeight="1" x14ac:dyDescent="0.2">
      <c r="A7" s="86"/>
      <c r="B7" s="56" t="s">
        <v>42</v>
      </c>
      <c r="C7" s="55"/>
      <c r="D7" s="57" t="s">
        <v>43</v>
      </c>
      <c r="E7" s="86"/>
      <c r="F7" s="86"/>
      <c r="G7" s="86"/>
      <c r="H7" s="86"/>
      <c r="I7" s="86"/>
      <c r="J7" s="86"/>
      <c r="K7" s="86"/>
      <c r="L7" s="86"/>
      <c r="M7" s="87"/>
      <c r="N7" s="88" t="s">
        <v>52</v>
      </c>
      <c r="O7" s="89"/>
      <c r="P7" s="89">
        <v>0</v>
      </c>
    </row>
    <row r="8" spans="1:16" ht="18" customHeight="1" thickBot="1" x14ac:dyDescent="0.25">
      <c r="A8" s="86"/>
      <c r="B8" s="56"/>
      <c r="C8" s="55"/>
      <c r="D8" s="57"/>
      <c r="E8" s="86"/>
      <c r="F8" s="86"/>
      <c r="G8" s="86"/>
      <c r="H8" s="86"/>
      <c r="I8" s="86"/>
      <c r="J8" s="86"/>
      <c r="K8" s="86"/>
      <c r="L8" s="86"/>
      <c r="M8" s="87"/>
      <c r="N8" s="90" t="s">
        <v>53</v>
      </c>
      <c r="O8" s="91"/>
      <c r="P8" s="91">
        <f>O6-P7</f>
        <v>271766.25</v>
      </c>
    </row>
    <row r="9" spans="1:16" ht="18" customHeight="1" x14ac:dyDescent="0.2">
      <c r="A9" s="11"/>
      <c r="H9" s="63"/>
      <c r="N9" s="62" t="s">
        <v>31</v>
      </c>
      <c r="P9" s="69">
        <f>P8*1%</f>
        <v>2717.6624999999999</v>
      </c>
    </row>
    <row r="10" spans="1:16" ht="18" customHeight="1" thickBot="1" x14ac:dyDescent="0.25">
      <c r="A10" s="11"/>
      <c r="H10" s="63"/>
      <c r="N10" s="62" t="s">
        <v>54</v>
      </c>
      <c r="P10" s="71">
        <f>P8*2%</f>
        <v>5435.3249999999998</v>
      </c>
    </row>
    <row r="11" spans="1:16" ht="18" customHeight="1" x14ac:dyDescent="0.2">
      <c r="A11" s="11"/>
      <c r="H11" s="63"/>
      <c r="N11" s="66" t="s">
        <v>32</v>
      </c>
      <c r="O11" s="67"/>
      <c r="P11" s="70">
        <f>P8+P9-P10</f>
        <v>269048.58749999997</v>
      </c>
    </row>
    <row r="13" spans="1:16" x14ac:dyDescent="0.2">
      <c r="A13" s="11"/>
      <c r="H13" s="63"/>
      <c r="P13" s="71"/>
    </row>
    <row r="14" spans="1:16" x14ac:dyDescent="0.2">
      <c r="A14" s="11"/>
      <c r="H14" s="63"/>
      <c r="O14" s="58"/>
      <c r="P14" s="71"/>
    </row>
    <row r="15" spans="1:16" s="3" customFormat="1" x14ac:dyDescent="0.25">
      <c r="A15" s="11"/>
      <c r="B15" s="2"/>
      <c r="C15" s="2"/>
      <c r="E15" s="12"/>
      <c r="H15" s="63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</sheetData>
  <mergeCells count="2">
    <mergeCell ref="A6:L6"/>
    <mergeCell ref="O6:P6"/>
  </mergeCells>
  <conditionalFormatting sqref="B3">
    <cfRule type="duplicateValues" dxfId="301" priority="2"/>
  </conditionalFormatting>
  <conditionalFormatting sqref="B4">
    <cfRule type="duplicateValues" dxfId="300" priority="1"/>
  </conditionalFormatting>
  <conditionalFormatting sqref="B5">
    <cfRule type="duplicateValues" dxfId="299" priority="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25</vt:i4>
      </vt:variant>
    </vt:vector>
  </HeadingPairs>
  <TitlesOfParts>
    <vt:vector size="50" baseType="lpstr">
      <vt:lpstr>049_Sicepat_BATAM 21-30</vt:lpstr>
      <vt:lpstr>404033</vt:lpstr>
      <vt:lpstr>403897</vt:lpstr>
      <vt:lpstr>403220</vt:lpstr>
      <vt:lpstr>406077</vt:lpstr>
      <vt:lpstr>403222</vt:lpstr>
      <vt:lpstr>403224</vt:lpstr>
      <vt:lpstr>403098</vt:lpstr>
      <vt:lpstr>403226</vt:lpstr>
      <vt:lpstr>403704</vt:lpstr>
      <vt:lpstr>404036</vt:lpstr>
      <vt:lpstr>403707</vt:lpstr>
      <vt:lpstr>404040</vt:lpstr>
      <vt:lpstr>403710</vt:lpstr>
      <vt:lpstr>403712</vt:lpstr>
      <vt:lpstr>404042</vt:lpstr>
      <vt:lpstr>403720</vt:lpstr>
      <vt:lpstr>404046</vt:lpstr>
      <vt:lpstr>404044</vt:lpstr>
      <vt:lpstr>403725</vt:lpstr>
      <vt:lpstr>403727</vt:lpstr>
      <vt:lpstr>406158</vt:lpstr>
      <vt:lpstr>403735</vt:lpstr>
      <vt:lpstr>403953</vt:lpstr>
      <vt:lpstr>403736</vt:lpstr>
      <vt:lpstr>'049_Sicepat_BATAM 21-30'!Print_Titles</vt:lpstr>
      <vt:lpstr>'403098'!Print_Titles</vt:lpstr>
      <vt:lpstr>'403220'!Print_Titles</vt:lpstr>
      <vt:lpstr>'403222'!Print_Titles</vt:lpstr>
      <vt:lpstr>'403224'!Print_Titles</vt:lpstr>
      <vt:lpstr>'403226'!Print_Titles</vt:lpstr>
      <vt:lpstr>'403704'!Print_Titles</vt:lpstr>
      <vt:lpstr>'403707'!Print_Titles</vt:lpstr>
      <vt:lpstr>'403710'!Print_Titles</vt:lpstr>
      <vt:lpstr>'403712'!Print_Titles</vt:lpstr>
      <vt:lpstr>'403720'!Print_Titles</vt:lpstr>
      <vt:lpstr>'403725'!Print_Titles</vt:lpstr>
      <vt:lpstr>'403727'!Print_Titles</vt:lpstr>
      <vt:lpstr>'403735'!Print_Titles</vt:lpstr>
      <vt:lpstr>'403736'!Print_Titles</vt:lpstr>
      <vt:lpstr>'403897'!Print_Titles</vt:lpstr>
      <vt:lpstr>'403953'!Print_Titles</vt:lpstr>
      <vt:lpstr>'404033'!Print_Titles</vt:lpstr>
      <vt:lpstr>'404036'!Print_Titles</vt:lpstr>
      <vt:lpstr>'404040'!Print_Titles</vt:lpstr>
      <vt:lpstr>'404042'!Print_Titles</vt:lpstr>
      <vt:lpstr>'404044'!Print_Titles</vt:lpstr>
      <vt:lpstr>'404046'!Print_Titles</vt:lpstr>
      <vt:lpstr>'406077'!Print_Titles</vt:lpstr>
      <vt:lpstr>'406158'!Print_Titles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2021-12-21T07:09:59Z</cp:lastPrinted>
  <dcterms:created xsi:type="dcterms:W3CDTF">2021-07-02T11:08:00Z</dcterms:created>
  <dcterms:modified xsi:type="dcterms:W3CDTF">2021-12-21T08:53:23Z</dcterms:modified>
</cp:coreProperties>
</file>