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1\Sicepat\"/>
    </mc:Choice>
  </mc:AlternateContent>
  <bookViews>
    <workbookView xWindow="0" yWindow="0" windowWidth="20490" windowHeight="7320" tabRatio="842"/>
  </bookViews>
  <sheets>
    <sheet name="051_Sicepat_TNJ" sheetId="2" r:id="rId1"/>
    <sheet name="402444" sheetId="26" r:id="rId2"/>
    <sheet name="402449" sheetId="57" r:id="rId3"/>
    <sheet name="402323" sheetId="58" r:id="rId4"/>
    <sheet name="403328" sheetId="59" r:id="rId5"/>
    <sheet name="402336" sheetId="60" r:id="rId6"/>
    <sheet name="402344" sheetId="61" r:id="rId7"/>
    <sheet name="403857" sheetId="62" r:id="rId8"/>
    <sheet name="403861" sheetId="63" r:id="rId9"/>
    <sheet name="403869" sheetId="64" r:id="rId10"/>
    <sheet name="403881" sheetId="65" r:id="rId11"/>
    <sheet name="403884" sheetId="66" r:id="rId12"/>
    <sheet name="403893" sheetId="67" r:id="rId13"/>
    <sheet name="403896" sheetId="68" r:id="rId14"/>
    <sheet name="403899" sheetId="69" r:id="rId15"/>
    <sheet name="403706" sheetId="70" r:id="rId16"/>
    <sheet name="403719" sheetId="71" r:id="rId17"/>
    <sheet name="403723" sheetId="72" r:id="rId18"/>
    <sheet name="403732" sheetId="89" r:id="rId19"/>
    <sheet name="403741" sheetId="73" r:id="rId20"/>
  </sheets>
  <definedNames>
    <definedName name="_xlnm.Print_Titles" localSheetId="0">'051_Sicepat_TNJ'!$2:$17</definedName>
    <definedName name="_xlnm.Print_Titles" localSheetId="3">'402323'!$2:$2</definedName>
    <definedName name="_xlnm.Print_Titles" localSheetId="5">'402336'!$2:$2</definedName>
    <definedName name="_xlnm.Print_Titles" localSheetId="6">'402344'!$2:$2</definedName>
    <definedName name="_xlnm.Print_Titles" localSheetId="1">'402444'!$2:$2</definedName>
    <definedName name="_xlnm.Print_Titles" localSheetId="2">'402449'!$2:$2</definedName>
    <definedName name="_xlnm.Print_Titles" localSheetId="4">'403328'!$2:$2</definedName>
    <definedName name="_xlnm.Print_Titles" localSheetId="15">'403706'!$2:$2</definedName>
    <definedName name="_xlnm.Print_Titles" localSheetId="16">'403719'!$2:$2</definedName>
    <definedName name="_xlnm.Print_Titles" localSheetId="17">'403723'!$2:$2</definedName>
    <definedName name="_xlnm.Print_Titles" localSheetId="18">'403732'!$2:$2</definedName>
    <definedName name="_xlnm.Print_Titles" localSheetId="19">'403741'!$2:$2</definedName>
    <definedName name="_xlnm.Print_Titles" localSheetId="7">'403857'!$2:$2</definedName>
    <definedName name="_xlnm.Print_Titles" localSheetId="8">'403861'!$2:$2</definedName>
    <definedName name="_xlnm.Print_Titles" localSheetId="9">'403869'!$2:$2</definedName>
    <definedName name="_xlnm.Print_Titles" localSheetId="10">'403881'!$2:$2</definedName>
    <definedName name="_xlnm.Print_Titles" localSheetId="11">'403884'!$2:$2</definedName>
    <definedName name="_xlnm.Print_Titles" localSheetId="12">'403893'!$2:$2</definedName>
    <definedName name="_xlnm.Print_Titles" localSheetId="13">'403896'!$2:$2</definedName>
    <definedName name="_xlnm.Print_Titles" localSheetId="14">'403899'!$2:$2</definedName>
  </definedNames>
  <calcPr calcId="162913"/>
</workbook>
</file>

<file path=xl/calcChain.xml><?xml version="1.0" encoding="utf-8"?>
<calcChain xmlns="http://schemas.openxmlformats.org/spreadsheetml/2006/main">
  <c r="O4" i="73" l="1"/>
  <c r="N4" i="73"/>
  <c r="O12" i="89"/>
  <c r="N12" i="89"/>
  <c r="O4" i="72"/>
  <c r="N4" i="72"/>
  <c r="O12" i="71"/>
  <c r="N12" i="71"/>
  <c r="O12" i="70"/>
  <c r="N12" i="70"/>
  <c r="O5" i="69"/>
  <c r="N5" i="69"/>
  <c r="O4" i="68"/>
  <c r="N4" i="68"/>
  <c r="O13" i="67"/>
  <c r="N13" i="67"/>
  <c r="O4" i="66"/>
  <c r="N4" i="66"/>
  <c r="O8" i="65"/>
  <c r="N8" i="65"/>
  <c r="O9" i="64"/>
  <c r="N9" i="64"/>
  <c r="O6" i="63"/>
  <c r="N6" i="63"/>
  <c r="O14" i="62"/>
  <c r="N14" i="62"/>
  <c r="O4" i="61"/>
  <c r="N4" i="61"/>
  <c r="O6" i="60"/>
  <c r="N6" i="60"/>
  <c r="O4" i="59"/>
  <c r="N4" i="59"/>
  <c r="O10" i="58"/>
  <c r="N10" i="58"/>
  <c r="O10" i="57"/>
  <c r="N10" i="57"/>
  <c r="N5" i="26"/>
  <c r="P5" i="73" l="1"/>
  <c r="P13" i="89"/>
  <c r="P5" i="72"/>
  <c r="P13" i="71"/>
  <c r="P13" i="70"/>
  <c r="P6" i="69"/>
  <c r="P5" i="68"/>
  <c r="P14" i="67"/>
  <c r="P5" i="66"/>
  <c r="P9" i="65"/>
  <c r="P10" i="64"/>
  <c r="P7" i="63"/>
  <c r="P15" i="62"/>
  <c r="P5" i="61"/>
  <c r="P7" i="60"/>
  <c r="P5" i="59"/>
  <c r="P11" i="58"/>
  <c r="P11" i="57"/>
  <c r="P6" i="26"/>
  <c r="C26" i="2"/>
  <c r="C27" i="2"/>
  <c r="J36" i="2"/>
  <c r="C36" i="2"/>
  <c r="B36" i="2"/>
  <c r="G35" i="2"/>
  <c r="C35" i="2"/>
  <c r="B35" i="2"/>
  <c r="A36" i="2"/>
  <c r="M12" i="89"/>
  <c r="P11" i="89"/>
  <c r="P10" i="89"/>
  <c r="P9" i="89"/>
  <c r="P8" i="89"/>
  <c r="P7" i="89"/>
  <c r="P6" i="89"/>
  <c r="P5" i="89"/>
  <c r="P4" i="89"/>
  <c r="P3" i="89"/>
  <c r="P14" i="89" l="1"/>
  <c r="P16" i="89" s="1"/>
  <c r="P15" i="89"/>
  <c r="P17" i="89" l="1"/>
  <c r="P3" i="26" l="1"/>
  <c r="P4" i="26"/>
  <c r="B34" i="2" l="1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G24" i="2" l="1"/>
  <c r="C34" i="2"/>
  <c r="C33" i="2"/>
  <c r="C32" i="2"/>
  <c r="C31" i="2"/>
  <c r="C30" i="2"/>
  <c r="C29" i="2"/>
  <c r="C28" i="2"/>
  <c r="C25" i="2"/>
  <c r="C24" i="2"/>
  <c r="C23" i="2"/>
  <c r="C22" i="2"/>
  <c r="C21" i="2"/>
  <c r="C20" i="2"/>
  <c r="C19" i="2"/>
  <c r="C18" i="2"/>
  <c r="M4" i="73"/>
  <c r="P3" i="73"/>
  <c r="P6" i="73" s="1"/>
  <c r="M4" i="72"/>
  <c r="P3" i="72"/>
  <c r="P6" i="72" s="1"/>
  <c r="G33" i="2"/>
  <c r="M12" i="71"/>
  <c r="P11" i="71"/>
  <c r="P10" i="71"/>
  <c r="P9" i="71"/>
  <c r="P8" i="71"/>
  <c r="P7" i="71"/>
  <c r="P6" i="71"/>
  <c r="P5" i="71"/>
  <c r="P4" i="71"/>
  <c r="P3" i="71"/>
  <c r="M12" i="70"/>
  <c r="P11" i="70"/>
  <c r="P10" i="70"/>
  <c r="P9" i="70"/>
  <c r="P8" i="70"/>
  <c r="P7" i="70"/>
  <c r="P6" i="70"/>
  <c r="P5" i="70"/>
  <c r="P4" i="70"/>
  <c r="P3" i="70"/>
  <c r="M5" i="69"/>
  <c r="P4" i="69"/>
  <c r="P3" i="69"/>
  <c r="M4" i="68"/>
  <c r="P3" i="68"/>
  <c r="P6" i="68" s="1"/>
  <c r="G29" i="2"/>
  <c r="M13" i="67"/>
  <c r="P12" i="67"/>
  <c r="P11" i="67"/>
  <c r="P10" i="67"/>
  <c r="P9" i="67"/>
  <c r="P8" i="67"/>
  <c r="P7" i="67"/>
  <c r="P6" i="67"/>
  <c r="P5" i="67"/>
  <c r="P4" i="67"/>
  <c r="P3" i="67"/>
  <c r="M4" i="66"/>
  <c r="P3" i="66"/>
  <c r="P6" i="66" s="1"/>
  <c r="M8" i="65"/>
  <c r="P7" i="65"/>
  <c r="P6" i="65"/>
  <c r="P5" i="65"/>
  <c r="P4" i="65"/>
  <c r="P3" i="65"/>
  <c r="M9" i="64"/>
  <c r="P8" i="64"/>
  <c r="P7" i="64"/>
  <c r="P6" i="64"/>
  <c r="P5" i="64"/>
  <c r="P4" i="64"/>
  <c r="P3" i="64"/>
  <c r="G25" i="2"/>
  <c r="M6" i="63"/>
  <c r="P5" i="63"/>
  <c r="P4" i="63"/>
  <c r="P3" i="63"/>
  <c r="M14" i="62"/>
  <c r="P13" i="62"/>
  <c r="P12" i="62"/>
  <c r="P11" i="62"/>
  <c r="P10" i="62"/>
  <c r="P9" i="62"/>
  <c r="P8" i="62"/>
  <c r="P7" i="62"/>
  <c r="P6" i="62"/>
  <c r="P5" i="62"/>
  <c r="P4" i="62"/>
  <c r="P3" i="62"/>
  <c r="M4" i="61"/>
  <c r="P3" i="61"/>
  <c r="P6" i="61" s="1"/>
  <c r="G22" i="2"/>
  <c r="M6" i="60"/>
  <c r="P5" i="60"/>
  <c r="P4" i="60"/>
  <c r="P3" i="60"/>
  <c r="M4" i="59"/>
  <c r="P3" i="59"/>
  <c r="P6" i="59" s="1"/>
  <c r="G20" i="2"/>
  <c r="M10" i="58"/>
  <c r="P9" i="58"/>
  <c r="P8" i="58"/>
  <c r="P7" i="58"/>
  <c r="P6" i="58"/>
  <c r="P5" i="58"/>
  <c r="P4" i="58"/>
  <c r="P3" i="58"/>
  <c r="G19" i="2"/>
  <c r="M10" i="57"/>
  <c r="P9" i="57"/>
  <c r="P8" i="57"/>
  <c r="P7" i="57"/>
  <c r="P6" i="57"/>
  <c r="P5" i="57"/>
  <c r="P4" i="57"/>
  <c r="P3" i="57"/>
  <c r="P14" i="71" l="1"/>
  <c r="P16" i="71" s="1"/>
  <c r="P14" i="70"/>
  <c r="P16" i="70" s="1"/>
  <c r="P7" i="69"/>
  <c r="P9" i="69" s="1"/>
  <c r="P15" i="67"/>
  <c r="P17" i="67" s="1"/>
  <c r="P10" i="65"/>
  <c r="P12" i="65" s="1"/>
  <c r="P11" i="64"/>
  <c r="P12" i="64" s="1"/>
  <c r="P8" i="63"/>
  <c r="P9" i="63" s="1"/>
  <c r="P16" i="62"/>
  <c r="P18" i="62" s="1"/>
  <c r="P8" i="60"/>
  <c r="P9" i="60" s="1"/>
  <c r="P12" i="58"/>
  <c r="P14" i="58" s="1"/>
  <c r="P12" i="57"/>
  <c r="P13" i="57" s="1"/>
  <c r="P8" i="73"/>
  <c r="P7" i="73"/>
  <c r="P8" i="72"/>
  <c r="P7" i="72"/>
  <c r="P8" i="68"/>
  <c r="P7" i="68"/>
  <c r="P8" i="66"/>
  <c r="P7" i="66"/>
  <c r="P8" i="61"/>
  <c r="P7" i="61"/>
  <c r="P8" i="59"/>
  <c r="P7" i="59"/>
  <c r="P13" i="64" l="1"/>
  <c r="P14" i="64" s="1"/>
  <c r="P13" i="58"/>
  <c r="P15" i="58" s="1"/>
  <c r="P9" i="59"/>
  <c r="P9" i="61"/>
  <c r="P9" i="73"/>
  <c r="P9" i="72"/>
  <c r="P15" i="71"/>
  <c r="P17" i="71" s="1"/>
  <c r="P15" i="70"/>
  <c r="P17" i="70" s="1"/>
  <c r="P8" i="69"/>
  <c r="P10" i="69" s="1"/>
  <c r="P9" i="68"/>
  <c r="P16" i="67"/>
  <c r="P18" i="67" s="1"/>
  <c r="P9" i="66"/>
  <c r="P11" i="65"/>
  <c r="P13" i="65" s="1"/>
  <c r="P10" i="63"/>
  <c r="P11" i="63" s="1"/>
  <c r="P17" i="62"/>
  <c r="P19" i="62" s="1"/>
  <c r="P10" i="60"/>
  <c r="P11" i="60" s="1"/>
  <c r="P14" i="57"/>
  <c r="P15" i="57" s="1"/>
  <c r="I42" i="2"/>
  <c r="I41" i="2"/>
  <c r="I43" i="2" s="1"/>
  <c r="L37" i="2" l="1"/>
  <c r="J29" i="2"/>
  <c r="J35" i="2"/>
  <c r="J34" i="2"/>
  <c r="J33" i="2"/>
  <c r="J32" i="2"/>
  <c r="J31" i="2"/>
  <c r="J30" i="2"/>
  <c r="M5" i="26"/>
  <c r="O5" i="26" l="1"/>
  <c r="P7" i="26" s="1"/>
  <c r="J28" i="2"/>
  <c r="J27" i="2"/>
  <c r="J26" i="2"/>
  <c r="J25" i="2"/>
  <c r="P8" i="26" l="1"/>
  <c r="P9" i="26"/>
  <c r="J24" i="2"/>
  <c r="P10" i="26" l="1"/>
  <c r="A19" i="2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J23" i="2"/>
  <c r="J21" i="2"/>
  <c r="J22" i="2"/>
  <c r="J20" i="2"/>
  <c r="J19" i="2"/>
  <c r="I54" i="2" l="1"/>
  <c r="J18" i="2"/>
  <c r="J37" i="2" s="1"/>
  <c r="J39" i="2" s="1"/>
  <c r="J40" i="2" l="1"/>
  <c r="J42" i="2" l="1"/>
  <c r="J41" i="2"/>
  <c r="J43" i="2" l="1"/>
</calcChain>
</file>

<file path=xl/sharedStrings.xml><?xml version="1.0" encoding="utf-8"?>
<sst xmlns="http://schemas.openxmlformats.org/spreadsheetml/2006/main" count="914" uniqueCount="187">
  <si>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</si>
  <si>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</si>
  <si>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</si>
  <si>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</si>
  <si>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</si>
  <si>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</si>
  <si>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</si>
  <si>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</si>
  <si>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</si>
  <si>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</si>
  <si>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</si>
  <si>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</si>
  <si>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</si>
  <si>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</si>
  <si>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</si>
  <si>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</si>
  <si>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</si>
  <si>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</si>
  <si>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</si>
  <si>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</si>
  <si>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</si>
  <si>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</si>
  <si>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</si>
  <si>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</si>
  <si>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</si>
  <si>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</si>
  <si>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</si>
  <si>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</si>
  <si>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</si>
  <si>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</si>
  <si>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</si>
  <si>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</si>
  <si>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</si>
  <si>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</si>
  <si>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</si>
  <si>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</si>
  <si>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</si>
  <si>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</si>
  <si>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</si>
  <si>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</si>
  <si>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</si>
  <si>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</si>
  <si>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</si>
  <si>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</si>
  <si>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</si>
  <si>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</si>
  <si>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</si>
  <si>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</si>
  <si>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</si>
  <si>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</si>
  <si>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</si>
  <si>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</si>
  <si>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</si>
  <si>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</si>
  <si>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</si>
  <si>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</si>
  <si>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>DMD/2111/01/YBGJ9402</t>
  </si>
  <si>
    <t>GSK211101EDI527</t>
  </si>
  <si>
    <t>GSK211101GMT783</t>
  </si>
  <si>
    <t>DMP TNJ (TJ.PINANG)</t>
  </si>
  <si>
    <t>KM SATRIA PRATAMA</t>
  </si>
  <si>
    <t>11/6/2021 M.FIKRI</t>
  </si>
  <si>
    <t>DMD/2111/02/ACFI6189</t>
  </si>
  <si>
    <t>GSK211102MLY963</t>
  </si>
  <si>
    <t>GSK211102LKU760</t>
  </si>
  <si>
    <t>GSK211102CRJ025</t>
  </si>
  <si>
    <t>GSK211102LCB098</t>
  </si>
  <si>
    <t>GSK211102CHB517</t>
  </si>
  <si>
    <t>GSK211102BKH638</t>
  </si>
  <si>
    <t>DMD/2111/02/JUBL7682</t>
  </si>
  <si>
    <t>GSK211102YFZ695</t>
  </si>
  <si>
    <t>DMD/2111/03/PZVS7345</t>
  </si>
  <si>
    <t>GSK211103BHD869</t>
  </si>
  <si>
    <t>GSK211103NLI423</t>
  </si>
  <si>
    <t>GSK211103KNI457</t>
  </si>
  <si>
    <t>GSK211103YTD562</t>
  </si>
  <si>
    <t>GSK211103CJE576</t>
  </si>
  <si>
    <t>GSK211103VQN507</t>
  </si>
  <si>
    <t>GSK211103GDK942</t>
  </si>
  <si>
    <t>DMD/2111/04/YNIW1930</t>
  </si>
  <si>
    <t>GSK211104VSR286</t>
  </si>
  <si>
    <t>KM SEMBILANG</t>
  </si>
  <si>
    <t>11/13/2021 RESTU</t>
  </si>
  <si>
    <t>DMD/2111/06/QODP9260</t>
  </si>
  <si>
    <t>GSK211106FYC804</t>
  </si>
  <si>
    <t>GSK211106LQS016</t>
  </si>
  <si>
    <t>GSK211106TAF953</t>
  </si>
  <si>
    <t>11/13/2021 M. FIKRI</t>
  </si>
  <si>
    <t>DMD/2111/08/ZBAR7546</t>
  </si>
  <si>
    <t>GSK211108PEM867</t>
  </si>
  <si>
    <t>13/11/2021 RIANO</t>
  </si>
  <si>
    <t>DMD/2111/11/AXZC8937</t>
  </si>
  <si>
    <t>GSK211111IAR827</t>
  </si>
  <si>
    <t>GSK211111RXP638</t>
  </si>
  <si>
    <t>GSK211111EYJ640</t>
  </si>
  <si>
    <t>GSK211111FJC754</t>
  </si>
  <si>
    <t>GSK211111BFP053</t>
  </si>
  <si>
    <t>GSK211111DSN579</t>
  </si>
  <si>
    <t>GSK211111SVB873</t>
  </si>
  <si>
    <t>GSK211111FUM269</t>
  </si>
  <si>
    <t>GSK211111HCP037</t>
  </si>
  <si>
    <t>GSK211111ZUM403</t>
  </si>
  <si>
    <t>GSK211111ZDL091</t>
  </si>
  <si>
    <t>15/11/2021 RIANO</t>
  </si>
  <si>
    <t>DMD/2111/12/FXPK0328</t>
  </si>
  <si>
    <t>GSK211112EOQ512</t>
  </si>
  <si>
    <t>GSK211112FOG153</t>
  </si>
  <si>
    <t>GSK211112IYZ274</t>
  </si>
  <si>
    <t>11/19/2021 HARTANTO</t>
  </si>
  <si>
    <t>DMD/2111/13/KEQM5728</t>
  </si>
  <si>
    <t>GSK211113VEO637</t>
  </si>
  <si>
    <t>GSK211113ZFJ415</t>
  </si>
  <si>
    <t>GSK211113FGP549</t>
  </si>
  <si>
    <t>GSK211113EFQ375</t>
  </si>
  <si>
    <t>GSK211113HTL620</t>
  </si>
  <si>
    <t>GSK211113DYN081</t>
  </si>
  <si>
    <t>DMD/2111/17/XVIB2783</t>
  </si>
  <si>
    <t>GSK211117SQN623</t>
  </si>
  <si>
    <t>GSK211117DRX073</t>
  </si>
  <si>
    <t>GSK211117HBF093</t>
  </si>
  <si>
    <t>GSK211116QVZ397</t>
  </si>
  <si>
    <t>GSK211116IZJ641</t>
  </si>
  <si>
    <t>DMP TNJ (T. PINANG)</t>
  </si>
  <si>
    <t>11/24/2021 HARTANTO</t>
  </si>
  <si>
    <t>DMD/2111/18/MCKW0957</t>
  </si>
  <si>
    <t>GSK211118LYN846</t>
  </si>
  <si>
    <t>DMD/2111/19/QYWO1860</t>
  </si>
  <si>
    <t>GSK211119RZI620</t>
  </si>
  <si>
    <t>GSK211119AEJ039</t>
  </si>
  <si>
    <t>GSK211119PBG356</t>
  </si>
  <si>
    <t>GSK211119UYX874</t>
  </si>
  <si>
    <t>GSK211119FPL129</t>
  </si>
  <si>
    <t>GSK211119DMK506</t>
  </si>
  <si>
    <t>GSK211119YXV937</t>
  </si>
  <si>
    <t>GSK211119EPV109</t>
  </si>
  <si>
    <t>GSK211119JUT896</t>
  </si>
  <si>
    <t>GSK211119DEB390</t>
  </si>
  <si>
    <t>DMD/2111/20/MXQJ5634</t>
  </si>
  <si>
    <t>GSK211120WVN084</t>
  </si>
  <si>
    <t>DMD/2111/21/ILAZ3017</t>
  </si>
  <si>
    <t>GSK211121JUL532</t>
  </si>
  <si>
    <t>GSK211121EIJ901</t>
  </si>
  <si>
    <t>KM HUMALA</t>
  </si>
  <si>
    <t>11/27/2021 AGUS</t>
  </si>
  <si>
    <t>DMD/2111/24/AUJM9816</t>
  </si>
  <si>
    <t>GSK211124DSB210</t>
  </si>
  <si>
    <t>GSK211124LWY103</t>
  </si>
  <si>
    <t>GSK211124STX283</t>
  </si>
  <si>
    <t>GSK211124PRM692</t>
  </si>
  <si>
    <t>GSK211124BNE590</t>
  </si>
  <si>
    <t>GSK211124CZJ679</t>
  </si>
  <si>
    <t>GSK211124RGK671</t>
  </si>
  <si>
    <t>GSK211124BRJ508</t>
  </si>
  <si>
    <t>GSK211124QCO362</t>
  </si>
  <si>
    <t>DMD/2111/26/VRFW6920</t>
  </si>
  <si>
    <t>GSK211126MZP569</t>
  </si>
  <si>
    <t>GSK211126ZCS748</t>
  </si>
  <si>
    <t>GSK211126CHW234</t>
  </si>
  <si>
    <t>GSK211126BEO935</t>
  </si>
  <si>
    <t>GSK211126IEP478</t>
  </si>
  <si>
    <t>GSK211126OFS783</t>
  </si>
  <si>
    <t>GSK211126YPG902</t>
  </si>
  <si>
    <t>GSK211126QBJ743</t>
  </si>
  <si>
    <t>GSK211126HOD378</t>
  </si>
  <si>
    <t>KM RORO</t>
  </si>
  <si>
    <t>12/1/2021 AGUS</t>
  </si>
  <si>
    <t>DMD/2111/27/JZOS1370</t>
  </si>
  <si>
    <t>GSK211127ANB170</t>
  </si>
  <si>
    <t>DMD/2111/30/FONB0697</t>
  </si>
  <si>
    <t>GSK211127KHW938</t>
  </si>
  <si>
    <t>12/3/2021 RIANO</t>
  </si>
  <si>
    <t xml:space="preserve"> 051/PCI/PI/XII/21</t>
  </si>
  <si>
    <t xml:space="preserve"> 13 Desember  21</t>
  </si>
  <si>
    <t xml:space="preserve"> TANJUNG PINANG</t>
  </si>
  <si>
    <t xml:space="preserve"> NOVEMBER 21</t>
  </si>
  <si>
    <t>PENGIRIMAN BARANG TUJUAN TANJUNG PINANG</t>
  </si>
  <si>
    <t>DMD/2111/28/RKYL4623</t>
  </si>
  <si>
    <t>GSK211128ABK791</t>
  </si>
  <si>
    <t>GSK211128HTP932</t>
  </si>
  <si>
    <t>GSK211128DZK507</t>
  </si>
  <si>
    <t>GSK211128KRF473</t>
  </si>
  <si>
    <t>GSK211128PWY947</t>
  </si>
  <si>
    <t>GSK211128ELI093</t>
  </si>
  <si>
    <t>GSK211128JOM205</t>
  </si>
  <si>
    <t>GSK211128TRA842</t>
  </si>
  <si>
    <t>GSK211128DQR714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</si>
  <si>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Sembilan Belas Juta Dua Ratus Tiga Puluh Tiga Ribu Sembilan Ratus Lima Puluh Satu Ribu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</si>
</sst>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2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8" fillId="0" borderId="0" xfId="0" applyFont="1" applyBorder="1"/>
    <xf numFmtId="0" fontId="9" fillId="0" borderId="0" xfId="0" applyFont="1" applyBorder="1"/>
    <xf numFmtId="0" fontId="14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4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5" fillId="0" borderId="0" xfId="0" applyNumberFormat="1" applyFont="1"/>
    <xf numFmtId="0" fontId="15" fillId="0" borderId="0" xfId="0" applyFont="1"/>
    <xf numFmtId="164" fontId="5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6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17" fillId="0" borderId="0" xfId="0" applyFont="1"/>
    <xf numFmtId="167" fontId="17" fillId="0" borderId="0" xfId="3" applyNumberFormat="1" applyFont="1" applyAlignment="1">
      <alignment horizontal="center"/>
    </xf>
    <xf numFmtId="168" fontId="17" fillId="0" borderId="0" xfId="0" quotePrefix="1" applyNumberFormat="1" applyFont="1"/>
    <xf numFmtId="167" fontId="17" fillId="0" borderId="0" xfId="3" applyNumberFormat="1" applyFont="1"/>
    <xf numFmtId="0" fontId="18" fillId="3" borderId="9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1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1" fontId="9" fillId="4" borderId="1" xfId="3" applyNumberFormat="1" applyFont="1" applyFill="1" applyBorder="1" applyAlignment="1">
      <alignment horizontal="center" vertical="center" wrapText="1"/>
    </xf>
    <xf numFmtId="1" fontId="9" fillId="4" borderId="4" xfId="3" applyNumberFormat="1" applyFont="1" applyFill="1" applyBorder="1" applyAlignment="1">
      <alignment horizontal="center" vertical="center" wrapText="1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17" fillId="0" borderId="0" xfId="3" applyNumberFormat="1" applyFont="1" applyAlignment="1">
      <alignment horizontal="left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328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6</xdr:col>
      <xdr:colOff>266700</xdr:colOff>
      <xdr:row>53</xdr:row>
      <xdr:rowOff>172754</xdr:rowOff>
    </xdr:from>
    <xdr:to>
      <xdr:col>10</xdr:col>
      <xdr:colOff>247650</xdr:colOff>
      <xdr:row>60</xdr:row>
      <xdr:rowOff>19049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6850" y="19022729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224578910112" displayName="Table224578910112" ref="C2:N4" totalsRowShown="0" headerRowDxfId="325" dataDxfId="323" headerRowBorderDxfId="324">
  <tableColumns count="12">
    <tableColumn id="1" name="NOMOR" dataDxfId="322" dataCellStyle="Normal"/>
    <tableColumn id="3" name="TUJUAN" dataDxfId="321" dataCellStyle="Normal"/>
    <tableColumn id="16" name="Pick Up" dataDxfId="320"/>
    <tableColumn id="14" name="KAPAL" dataDxfId="319"/>
    <tableColumn id="15" name="ETD Kapal" dataDxfId="318"/>
    <tableColumn id="10" name="KETERANGAN" dataDxfId="317" dataCellStyle="Normal"/>
    <tableColumn id="5" name="P" dataDxfId="316" dataCellStyle="Normal"/>
    <tableColumn id="6" name="L" dataDxfId="315" dataCellStyle="Normal"/>
    <tableColumn id="7" name="T" dataDxfId="314" dataCellStyle="Normal"/>
    <tableColumn id="4" name="ACT KG" dataDxfId="313" dataCellStyle="Normal"/>
    <tableColumn id="8" name="KG VOLUME" dataDxfId="312" dataCellStyle="Normal"/>
    <tableColumn id="19" name="PEMBULATAN" dataDxfId="311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0" name="Table22457891011234567891011" displayName="Table22457891011234567891011" ref="C2:N7" totalsRowShown="0" headerRowDxfId="167" dataDxfId="165" headerRowBorderDxfId="166">
  <tableColumns count="12">
    <tableColumn id="1" name="NOMOR" dataDxfId="164" dataCellStyle="Normal"/>
    <tableColumn id="3" name="TUJUAN" dataDxfId="163" dataCellStyle="Normal"/>
    <tableColumn id="16" name="Pick Up" dataDxfId="162"/>
    <tableColumn id="14" name="KAPAL" dataDxfId="161"/>
    <tableColumn id="15" name="ETD Kapal" dataDxfId="160"/>
    <tableColumn id="10" name="KETERANGAN" dataDxfId="159" dataCellStyle="Normal"/>
    <tableColumn id="5" name="P" dataDxfId="158" dataCellStyle="Normal"/>
    <tableColumn id="6" name="L" dataDxfId="157" dataCellStyle="Normal"/>
    <tableColumn id="7" name="T" dataDxfId="156" dataCellStyle="Normal"/>
    <tableColumn id="4" name="ACT KG" dataDxfId="155" dataCellStyle="Normal"/>
    <tableColumn id="8" name="KG VOLUME" dataDxfId="154" dataCellStyle="Normal"/>
    <tableColumn id="19" name="PEMBULATAN" dataDxfId="153"/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1" name="Table2245789101123456789101112" displayName="Table2245789101123456789101112" ref="C2:N3" totalsRowShown="0" headerRowDxfId="151" dataDxfId="149" headerRowBorderDxfId="150">
  <tableColumns count="12">
    <tableColumn id="1" name="NOMOR" dataDxfId="148" dataCellStyle="Normal"/>
    <tableColumn id="3" name="TUJUAN" dataDxfId="147" dataCellStyle="Normal"/>
    <tableColumn id="16" name="Pick Up" dataDxfId="146"/>
    <tableColumn id="14" name="KAPAL" dataDxfId="145"/>
    <tableColumn id="15" name="ETD Kapal" dataDxfId="144"/>
    <tableColumn id="10" name="KETERANGAN" dataDxfId="143" dataCellStyle="Normal"/>
    <tableColumn id="5" name="P" dataDxfId="142" dataCellStyle="Normal"/>
    <tableColumn id="6" name="L" dataDxfId="141" dataCellStyle="Normal"/>
    <tableColumn id="7" name="T" dataDxfId="140" dataCellStyle="Normal"/>
    <tableColumn id="4" name="ACT KG" dataDxfId="139" dataCellStyle="Normal"/>
    <tableColumn id="8" name="KG VOLUME" dataDxfId="138" dataCellStyle="Normal"/>
    <tableColumn id="19" name="PEMBULATAN" dataDxfId="137"/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2" name="Table224578910112345678910111213" displayName="Table224578910112345678910111213" ref="C2:N12" totalsRowShown="0" headerRowDxfId="133" dataDxfId="131" headerRowBorderDxfId="132">
  <tableColumns count="12">
    <tableColumn id="1" name="NOMOR" dataDxfId="130" dataCellStyle="Normal"/>
    <tableColumn id="3" name="TUJUAN" dataDxfId="129" dataCellStyle="Normal"/>
    <tableColumn id="16" name="Pick Up" dataDxfId="128"/>
    <tableColumn id="14" name="KAPAL" dataDxfId="127"/>
    <tableColumn id="15" name="ETD Kapal" dataDxfId="126"/>
    <tableColumn id="10" name="KETERANGAN" dataDxfId="125" dataCellStyle="Normal"/>
    <tableColumn id="5" name="P" dataDxfId="124" dataCellStyle="Normal"/>
    <tableColumn id="6" name="L" dataDxfId="123" dataCellStyle="Normal"/>
    <tableColumn id="7" name="T" dataDxfId="122" dataCellStyle="Normal"/>
    <tableColumn id="4" name="ACT KG" dataDxfId="121" dataCellStyle="Normal"/>
    <tableColumn id="8" name="KG VOLUME" dataDxfId="120" dataCellStyle="Normal"/>
    <tableColumn id="19" name="PEMBULATAN" dataDxfId="119"/>
  </tableColumns>
  <tableStyleInfo name="Table Style 1" showFirstColumn="0" showLastColumn="0" showRowStripes="1" showColumnStripes="0"/>
</table>
</file>

<file path=xl/tables/table13.xml><?xml version="1.0" encoding="utf-8"?>
<table xmlns="http://schemas.openxmlformats.org/spreadsheetml/2006/main" id="13" name="Table22457891011234567891011121314" displayName="Table22457891011234567891011121314" ref="C2:N3" totalsRowShown="0" headerRowDxfId="117" dataDxfId="115" headerRowBorderDxfId="116">
  <tableColumns count="12">
    <tableColumn id="1" name="NOMOR" dataDxfId="114" dataCellStyle="Normal"/>
    <tableColumn id="3" name="TUJUAN" dataDxfId="113" dataCellStyle="Normal"/>
    <tableColumn id="16" name="Pick Up" dataDxfId="112"/>
    <tableColumn id="14" name="KAPAL" dataDxfId="111"/>
    <tableColumn id="15" name="ETD Kapal" dataDxfId="110"/>
    <tableColumn id="10" name="KETERANGAN" dataDxfId="109" dataCellStyle="Normal"/>
    <tableColumn id="5" name="P" dataDxfId="108" dataCellStyle="Normal"/>
    <tableColumn id="6" name="L" dataDxfId="107" dataCellStyle="Normal"/>
    <tableColumn id="7" name="T" dataDxfId="106" dataCellStyle="Normal"/>
    <tableColumn id="4" name="ACT KG" dataDxfId="105" dataCellStyle="Normal"/>
    <tableColumn id="8" name="KG VOLUME" dataDxfId="104" dataCellStyle="Normal"/>
    <tableColumn id="19" name="PEMBULATAN" dataDxfId="103"/>
  </tableColumns>
  <tableStyleInfo name="Table Style 1" showFirstColumn="0" showLastColumn="0" showRowStripes="1" showColumnStripes="0"/>
</table>
</file>

<file path=xl/tables/table14.xml><?xml version="1.0" encoding="utf-8"?>
<table xmlns="http://schemas.openxmlformats.org/spreadsheetml/2006/main" id="14" name="Table2245789101123456789101112131415" displayName="Table2245789101123456789101112131415" ref="C2:N4" totalsRowShown="0" headerRowDxfId="100" dataDxfId="98" headerRowBorderDxfId="99">
  <tableColumns count="12">
    <tableColumn id="1" name="NOMOR" dataDxfId="97" dataCellStyle="Normal"/>
    <tableColumn id="3" name="TUJUAN" dataDxfId="96" dataCellStyle="Normal"/>
    <tableColumn id="16" name="Pick Up" dataDxfId="95"/>
    <tableColumn id="14" name="KAPAL" dataDxfId="94"/>
    <tableColumn id="15" name="ETD Kapal" dataDxfId="93"/>
    <tableColumn id="10" name="KETERANGAN" dataDxfId="92" dataCellStyle="Normal"/>
    <tableColumn id="5" name="P" dataDxfId="91" dataCellStyle="Normal"/>
    <tableColumn id="6" name="L" dataDxfId="90" dataCellStyle="Normal"/>
    <tableColumn id="7" name="T" dataDxfId="89" dataCellStyle="Normal"/>
    <tableColumn id="4" name="ACT KG" dataDxfId="88" dataCellStyle="Normal"/>
    <tableColumn id="8" name="KG VOLUME" dataDxfId="87" dataCellStyle="Normal"/>
    <tableColumn id="19" name="PEMBULATAN" dataDxfId="86"/>
  </tableColumns>
  <tableStyleInfo name="Table Style 1" showFirstColumn="0" showLastColumn="0" showRowStripes="1" showColumnStripes="0"/>
</table>
</file>

<file path=xl/tables/table15.xml><?xml version="1.0" encoding="utf-8"?>
<table xmlns="http://schemas.openxmlformats.org/spreadsheetml/2006/main" id="15" name="Table224578910112345678910111213141516" displayName="Table224578910112345678910111213141516" ref="C2:N11" totalsRowShown="0" headerRowDxfId="82" dataDxfId="80" headerRowBorderDxfId="81">
  <tableColumns count="12">
    <tableColumn id="1" name="NOMOR" dataDxfId="79" dataCellStyle="Normal"/>
    <tableColumn id="3" name="TUJUAN" dataDxfId="78" dataCellStyle="Normal"/>
    <tableColumn id="16" name="Pick Up" dataDxfId="77"/>
    <tableColumn id="14" name="KAPAL" dataDxfId="76"/>
    <tableColumn id="15" name="ETD Kapal" dataDxfId="75"/>
    <tableColumn id="10" name="KETERANGAN" dataDxfId="74" dataCellStyle="Normal"/>
    <tableColumn id="5" name="P" dataDxfId="73" dataCellStyle="Normal"/>
    <tableColumn id="6" name="L" dataDxfId="72" dataCellStyle="Normal"/>
    <tableColumn id="7" name="T" dataDxfId="71" dataCellStyle="Normal"/>
    <tableColumn id="4" name="ACT KG" dataDxfId="70" dataCellStyle="Normal"/>
    <tableColumn id="8" name="KG VOLUME" dataDxfId="69" dataCellStyle="Normal"/>
    <tableColumn id="19" name="PEMBULATAN" dataDxfId="68"/>
  </tableColumns>
  <tableStyleInfo name="Table Style 1" showFirstColumn="0" showLastColumn="0" showRowStripes="1" showColumnStripes="0"/>
</table>
</file>

<file path=xl/tables/table16.xml><?xml version="1.0" encoding="utf-8"?>
<table xmlns="http://schemas.openxmlformats.org/spreadsheetml/2006/main" id="16" name="Table22457891011234567891011121314151617" displayName="Table22457891011234567891011121314151617" ref="C2:N11" totalsRowShown="0" headerRowDxfId="64" dataDxfId="62" headerRowBorderDxfId="63">
  <tableColumns count="12">
    <tableColumn id="1" name="NOMOR" dataDxfId="61" dataCellStyle="Normal"/>
    <tableColumn id="3" name="TUJUAN" dataDxfId="60" dataCellStyle="Normal"/>
    <tableColumn id="16" name="Pick Up" dataDxfId="59"/>
    <tableColumn id="14" name="KAPAL" dataDxfId="58"/>
    <tableColumn id="15" name="ETD Kapal" dataDxfId="57"/>
    <tableColumn id="10" name="KETERANGAN" dataDxfId="56" dataCellStyle="Normal"/>
    <tableColumn id="5" name="P" dataDxfId="55" dataCellStyle="Normal"/>
    <tableColumn id="6" name="L" dataDxfId="54" dataCellStyle="Normal"/>
    <tableColumn id="7" name="T" dataDxfId="53" dataCellStyle="Normal"/>
    <tableColumn id="4" name="ACT KG" dataDxfId="52" dataCellStyle="Normal"/>
    <tableColumn id="8" name="KG VOLUME" dataDxfId="51" dataCellStyle="Normal"/>
    <tableColumn id="19" name="PEMBULATAN" dataDxfId="50"/>
  </tableColumns>
  <tableStyleInfo name="Table Style 1" showFirstColumn="0" showLastColumn="0" showRowStripes="1" showColumnStripes="0"/>
</table>
</file>

<file path=xl/tables/table17.xml><?xml version="1.0" encoding="utf-8"?>
<table xmlns="http://schemas.openxmlformats.org/spreadsheetml/2006/main" id="17" name="Table2245789101123456789101112131415161718" displayName="Table2245789101123456789101112131415161718" ref="C2:N3" totalsRowShown="0" headerRowDxfId="48" dataDxfId="46" headerRowBorderDxfId="47">
  <tableColumns count="12">
    <tableColumn id="1" name="NOMOR" dataDxfId="45" dataCellStyle="Normal"/>
    <tableColumn id="3" name="TUJUAN" dataDxfId="44" dataCellStyle="Normal"/>
    <tableColumn id="16" name="Pick Up" dataDxfId="43"/>
    <tableColumn id="14" name="KAPAL" dataDxfId="42"/>
    <tableColumn id="15" name="ETD Kapal" dataDxfId="41"/>
    <tableColumn id="10" name="KETERANGAN" dataDxfId="40" dataCellStyle="Normal"/>
    <tableColumn id="5" name="P" dataDxfId="39" dataCellStyle="Normal"/>
    <tableColumn id="6" name="L" dataDxfId="38" dataCellStyle="Normal"/>
    <tableColumn id="7" name="T" dataDxfId="37" dataCellStyle="Normal"/>
    <tableColumn id="4" name="ACT KG" dataDxfId="36" dataCellStyle="Normal"/>
    <tableColumn id="8" name="KG VOLUME" dataDxfId="35" dataCellStyle="Normal"/>
    <tableColumn id="19" name="PEMBULATAN" dataDxfId="34"/>
  </tableColumns>
  <tableStyleInfo name="Table Style 1" showFirstColumn="0" showLastColumn="0" showRowStripes="1" showColumnStripes="0"/>
</table>
</file>

<file path=xl/tables/table18.xml><?xml version="1.0" encoding="utf-8"?>
<table xmlns="http://schemas.openxmlformats.org/spreadsheetml/2006/main" id="19" name="Table2245789101123456789101112131415161720" displayName="Table2245789101123456789101112131415161720" ref="C2:N11" totalsRowShown="0" headerRowDxfId="30" dataDxfId="28" headerRowBorderDxfId="29">
  <tableColumns count="12">
    <tableColumn id="1" name="NOMOR" dataDxfId="27" dataCellStyle="Normal"/>
    <tableColumn id="3" name="TUJUAN" dataDxfId="26" dataCellStyle="Normal"/>
    <tableColumn id="16" name="Pick Up" dataDxfId="25"/>
    <tableColumn id="14" name="KAPAL" dataDxfId="24"/>
    <tableColumn id="15" name="ETD Kapal" dataDxfId="23"/>
    <tableColumn id="10" name="KETERANGAN" dataDxfId="22" dataCellStyle="Normal"/>
    <tableColumn id="5" name="P" dataDxfId="21" dataCellStyle="Normal"/>
    <tableColumn id="6" name="L" dataDxfId="20" dataCellStyle="Normal"/>
    <tableColumn id="7" name="T" dataDxfId="19" dataCellStyle="Normal"/>
    <tableColumn id="4" name="ACT KG" dataDxfId="18" dataCellStyle="Normal"/>
    <tableColumn id="8" name="KG VOLUME" dataDxfId="17" dataCellStyle="Normal"/>
    <tableColumn id="19" name="PEMBULATAN" dataDxfId="16"/>
  </tableColumns>
  <tableStyleInfo name="Table Style 1" showFirstColumn="0" showLastColumn="0" showRowStripes="1" showColumnStripes="0"/>
</table>
</file>

<file path=xl/tables/table19.xml><?xml version="1.0" encoding="utf-8"?>
<table xmlns="http://schemas.openxmlformats.org/spreadsheetml/2006/main" id="18" name="Table224578910112345678910111213141516171819" displayName="Table224578910112345678910111213141516171819" ref="C2:N3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2" name="Table2245789101123" displayName="Table2245789101123" ref="C2:N9" totalsRowShown="0" headerRowDxfId="307" dataDxfId="305" headerRowBorderDxfId="306">
  <tableColumns count="12">
    <tableColumn id="1" name="NOMOR" dataDxfId="304" dataCellStyle="Normal"/>
    <tableColumn id="3" name="TUJUAN" dataDxfId="303" dataCellStyle="Normal"/>
    <tableColumn id="16" name="Pick Up" dataDxfId="302"/>
    <tableColumn id="14" name="KAPAL" dataDxfId="301"/>
    <tableColumn id="15" name="ETD Kapal" dataDxfId="300"/>
    <tableColumn id="10" name="KETERANGAN" dataDxfId="299" dataCellStyle="Normal"/>
    <tableColumn id="5" name="P" dataDxfId="298" dataCellStyle="Normal"/>
    <tableColumn id="6" name="L" dataDxfId="297" dataCellStyle="Normal"/>
    <tableColumn id="7" name="T" dataDxfId="296" dataCellStyle="Normal"/>
    <tableColumn id="4" name="ACT KG" dataDxfId="295" dataCellStyle="Normal"/>
    <tableColumn id="8" name="KG VOLUME" dataDxfId="294" dataCellStyle="Normal"/>
    <tableColumn id="19" name="PEMBULATAN" dataDxfId="293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3" name="Table22457891011234" displayName="Table22457891011234" ref="C2:N9" totalsRowShown="0" headerRowDxfId="289" dataDxfId="287" headerRowBorderDxfId="288">
  <tableColumns count="12">
    <tableColumn id="1" name="NOMOR" dataDxfId="286" dataCellStyle="Normal"/>
    <tableColumn id="3" name="TUJUAN" dataDxfId="285" dataCellStyle="Normal"/>
    <tableColumn id="16" name="Pick Up" dataDxfId="284"/>
    <tableColumn id="14" name="KAPAL" dataDxfId="283"/>
    <tableColumn id="15" name="ETD Kapal" dataDxfId="282"/>
    <tableColumn id="10" name="KETERANGAN" dataDxfId="281" dataCellStyle="Normal"/>
    <tableColumn id="5" name="P" dataDxfId="280" dataCellStyle="Normal"/>
    <tableColumn id="6" name="L" dataDxfId="279" dataCellStyle="Normal"/>
    <tableColumn id="7" name="T" dataDxfId="278" dataCellStyle="Normal"/>
    <tableColumn id="4" name="ACT KG" dataDxfId="277" dataCellStyle="Normal"/>
    <tableColumn id="8" name="KG VOLUME" dataDxfId="276" dataCellStyle="Normal"/>
    <tableColumn id="19" name="PEMBULATAN" dataDxfId="275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4" name="Table224578910112345" displayName="Table224578910112345" ref="C2:N3" totalsRowShown="0" headerRowDxfId="273" dataDxfId="271" headerRowBorderDxfId="272">
  <tableColumns count="12">
    <tableColumn id="1" name="NOMOR" dataDxfId="270" dataCellStyle="Normal"/>
    <tableColumn id="3" name="TUJUAN" dataDxfId="269" dataCellStyle="Normal"/>
    <tableColumn id="16" name="Pick Up" dataDxfId="268"/>
    <tableColumn id="14" name="KAPAL" dataDxfId="267"/>
    <tableColumn id="15" name="ETD Kapal" dataDxfId="266"/>
    <tableColumn id="10" name="KETERANGAN" dataDxfId="265" dataCellStyle="Normal"/>
    <tableColumn id="5" name="P" dataDxfId="264" dataCellStyle="Normal"/>
    <tableColumn id="6" name="L" dataDxfId="263" dataCellStyle="Normal"/>
    <tableColumn id="7" name="T" dataDxfId="262" dataCellStyle="Normal"/>
    <tableColumn id="4" name="ACT KG" dataDxfId="261" dataCellStyle="Normal"/>
    <tableColumn id="8" name="KG VOLUME" dataDxfId="260" dataCellStyle="Normal"/>
    <tableColumn id="19" name="PEMBULATAN" dataDxfId="259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5" name="Table2245789101123456" displayName="Table2245789101123456" ref="C2:N5" totalsRowShown="0" headerRowDxfId="255" dataDxfId="253" headerRowBorderDxfId="254">
  <tableColumns count="12">
    <tableColumn id="1" name="NOMOR" dataDxfId="252" dataCellStyle="Normal"/>
    <tableColumn id="3" name="TUJUAN" dataDxfId="251" dataCellStyle="Normal"/>
    <tableColumn id="16" name="Pick Up" dataDxfId="250"/>
    <tableColumn id="14" name="KAPAL" dataDxfId="249"/>
    <tableColumn id="15" name="ETD Kapal" dataDxfId="248"/>
    <tableColumn id="10" name="KETERANGAN" dataDxfId="247" dataCellStyle="Normal"/>
    <tableColumn id="5" name="P" dataDxfId="246" dataCellStyle="Normal"/>
    <tableColumn id="6" name="L" dataDxfId="245" dataCellStyle="Normal"/>
    <tableColumn id="7" name="T" dataDxfId="244" dataCellStyle="Normal"/>
    <tableColumn id="4" name="ACT KG" dataDxfId="243" dataCellStyle="Normal"/>
    <tableColumn id="8" name="KG VOLUME" dataDxfId="242" dataCellStyle="Normal"/>
    <tableColumn id="19" name="PEMBULATAN" dataDxfId="241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6" name="Table22457891011234567" displayName="Table22457891011234567" ref="C2:N3" totalsRowShown="0" headerRowDxfId="239" dataDxfId="237" headerRowBorderDxfId="238">
  <tableColumns count="12">
    <tableColumn id="1" name="NOMOR" dataDxfId="236" dataCellStyle="Normal"/>
    <tableColumn id="3" name="TUJUAN" dataDxfId="235" dataCellStyle="Normal"/>
    <tableColumn id="16" name="Pick Up" dataDxfId="234"/>
    <tableColumn id="14" name="KAPAL" dataDxfId="233"/>
    <tableColumn id="15" name="ETD Kapal" dataDxfId="232"/>
    <tableColumn id="10" name="KETERANGAN" dataDxfId="231" dataCellStyle="Normal"/>
    <tableColumn id="5" name="P" dataDxfId="230" dataCellStyle="Normal"/>
    <tableColumn id="6" name="L" dataDxfId="229" dataCellStyle="Normal"/>
    <tableColumn id="7" name="T" dataDxfId="228" dataCellStyle="Normal"/>
    <tableColumn id="4" name="ACT KG" dataDxfId="227" dataCellStyle="Normal"/>
    <tableColumn id="8" name="KG VOLUME" dataDxfId="226" dataCellStyle="Normal"/>
    <tableColumn id="19" name="PEMBULATAN" dataDxfId="225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id="7" name="Table224578910112345678" displayName="Table224578910112345678" ref="C2:N13" totalsRowShown="0" headerRowDxfId="221" dataDxfId="219" headerRowBorderDxfId="220">
  <tableColumns count="12">
    <tableColumn id="1" name="NOMOR" dataDxfId="218" dataCellStyle="Normal"/>
    <tableColumn id="3" name="TUJUAN" dataDxfId="217" dataCellStyle="Normal"/>
    <tableColumn id="16" name="Pick Up" dataDxfId="216"/>
    <tableColumn id="14" name="KAPAL" dataDxfId="215"/>
    <tableColumn id="15" name="ETD Kapal" dataDxfId="214"/>
    <tableColumn id="10" name="KETERANGAN" dataDxfId="213" dataCellStyle="Normal"/>
    <tableColumn id="5" name="P" dataDxfId="212" dataCellStyle="Normal"/>
    <tableColumn id="6" name="L" dataDxfId="211" dataCellStyle="Normal"/>
    <tableColumn id="7" name="T" dataDxfId="210" dataCellStyle="Normal"/>
    <tableColumn id="4" name="ACT KG" dataDxfId="209" dataCellStyle="Normal"/>
    <tableColumn id="8" name="KG VOLUME" dataDxfId="208" dataCellStyle="Normal"/>
    <tableColumn id="19" name="PEMBULATAN" dataDxfId="207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8" name="Table2245789101123456789" displayName="Table2245789101123456789" ref="C2:N5" totalsRowShown="0" headerRowDxfId="203" dataDxfId="201" headerRowBorderDxfId="202">
  <tableColumns count="12">
    <tableColumn id="1" name="NOMOR" dataDxfId="200" dataCellStyle="Normal"/>
    <tableColumn id="3" name="TUJUAN" dataDxfId="199" dataCellStyle="Normal"/>
    <tableColumn id="16" name="Pick Up" dataDxfId="198"/>
    <tableColumn id="14" name="KAPAL" dataDxfId="197"/>
    <tableColumn id="15" name="ETD Kapal" dataDxfId="196"/>
    <tableColumn id="10" name="KETERANGAN" dataDxfId="195" dataCellStyle="Normal"/>
    <tableColumn id="5" name="P" dataDxfId="194" dataCellStyle="Normal"/>
    <tableColumn id="6" name="L" dataDxfId="193" dataCellStyle="Normal"/>
    <tableColumn id="7" name="T" dataDxfId="192" dataCellStyle="Normal"/>
    <tableColumn id="4" name="ACT KG" dataDxfId="191" dataCellStyle="Normal"/>
    <tableColumn id="8" name="KG VOLUME" dataDxfId="190" dataCellStyle="Normal"/>
    <tableColumn id="19" name="PEMBULATAN" dataDxfId="189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id="9" name="Table224578910112345678910" displayName="Table224578910112345678910" ref="C2:N8" totalsRowShown="0" headerRowDxfId="185" dataDxfId="183" headerRowBorderDxfId="184">
  <tableColumns count="12">
    <tableColumn id="1" name="NOMOR" dataDxfId="182" dataCellStyle="Normal"/>
    <tableColumn id="3" name="TUJUAN" dataDxfId="181" dataCellStyle="Normal"/>
    <tableColumn id="16" name="Pick Up" dataDxfId="180"/>
    <tableColumn id="14" name="KAPAL" dataDxfId="179"/>
    <tableColumn id="15" name="ETD Kapal" dataDxfId="178"/>
    <tableColumn id="10" name="KETERANGAN" dataDxfId="177" dataCellStyle="Normal"/>
    <tableColumn id="5" name="P" dataDxfId="176" dataCellStyle="Normal"/>
    <tableColumn id="6" name="L" dataDxfId="175" dataCellStyle="Normal"/>
    <tableColumn id="7" name="T" dataDxfId="174" dataCellStyle="Normal"/>
    <tableColumn id="4" name="ACT KG" dataDxfId="173" dataCellStyle="Normal"/>
    <tableColumn id="8" name="KG VOLUME" dataDxfId="172" dataCellStyle="Normal"/>
    <tableColumn id="19" name="PEMBULATAN" dataDxfId="171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61"/>
  <sheetViews>
    <sheetView tabSelected="1" topLeftCell="A38" workbookViewId="0">
      <selection activeCell="L52" sqref="L52"/>
    </sheetView>
  </sheetViews>
  <sheetFormatPr defaultRowHeight="15.75" x14ac:dyDescent="0.25"/>
  <cols>
    <col min="1" max="1" width="6.42578125" style="18" customWidth="1"/>
    <col min="2" max="2" width="11.5703125" style="18" customWidth="1"/>
    <col min="3" max="3" width="10" style="18" customWidth="1"/>
    <col min="4" max="4" width="26.42578125" style="18" customWidth="1"/>
    <col min="5" max="5" width="13.85546875" style="18" customWidth="1"/>
    <col min="6" max="6" width="6.85546875" style="18" bestFit="1" customWidth="1"/>
    <col min="7" max="7" width="6.42578125" style="18" customWidth="1"/>
    <col min="8" max="8" width="14.140625" style="19" bestFit="1" customWidth="1"/>
    <col min="9" max="9" width="1.5703125" style="19" customWidth="1"/>
    <col min="10" max="10" width="19.5703125" style="18" customWidth="1"/>
    <col min="11" max="11" width="9.140625" style="18"/>
    <col min="12" max="12" width="15.7109375" style="18" bestFit="1" customWidth="1"/>
    <col min="13" max="16384" width="9.140625" style="18"/>
  </cols>
  <sheetData>
    <row r="2" spans="1:10" x14ac:dyDescent="0.25">
      <c r="A2" s="17" t="s">
        <v>8</v>
      </c>
    </row>
    <row r="3" spans="1:10" x14ac:dyDescent="0.25">
      <c r="A3" s="20" t="s">
        <v>9</v>
      </c>
    </row>
    <row r="4" spans="1:10" x14ac:dyDescent="0.25">
      <c r="A4" s="20" t="s">
        <v>10</v>
      </c>
    </row>
    <row r="5" spans="1:10" x14ac:dyDescent="0.25">
      <c r="A5" s="20" t="s">
        <v>11</v>
      </c>
    </row>
    <row r="6" spans="1:10" x14ac:dyDescent="0.25">
      <c r="A6" s="20" t="s">
        <v>12</v>
      </c>
    </row>
    <row r="7" spans="1:10" x14ac:dyDescent="0.25">
      <c r="A7" s="20" t="s">
        <v>13</v>
      </c>
    </row>
    <row r="9" spans="1:10" ht="16.5" thickBot="1" x14ac:dyDescent="0.3">
      <c r="A9" s="21"/>
      <c r="B9" s="21"/>
      <c r="C9" s="21"/>
      <c r="D9" s="21"/>
      <c r="E9" s="21"/>
      <c r="F9" s="21"/>
      <c r="G9" s="21"/>
      <c r="H9" s="22"/>
      <c r="I9" s="22"/>
      <c r="J9" s="21"/>
    </row>
    <row r="10" spans="1:10" ht="23.25" customHeight="1" thickBot="1" x14ac:dyDescent="0.3">
      <c r="A10" s="107" t="s">
        <v>14</v>
      </c>
      <c r="B10" s="108"/>
      <c r="C10" s="108"/>
      <c r="D10" s="108"/>
      <c r="E10" s="108"/>
      <c r="F10" s="108"/>
      <c r="G10" s="108"/>
      <c r="H10" s="108"/>
      <c r="I10" s="108"/>
      <c r="J10" s="109"/>
    </row>
    <row r="12" spans="1:10" x14ac:dyDescent="0.25">
      <c r="A12" s="89" t="s">
        <v>15</v>
      </c>
      <c r="B12" s="89" t="s">
        <v>16</v>
      </c>
      <c r="C12" s="89"/>
      <c r="D12" s="89"/>
      <c r="E12" s="89"/>
      <c r="F12" s="89"/>
      <c r="G12" s="104" t="s">
        <v>49</v>
      </c>
      <c r="H12" s="104"/>
      <c r="I12" s="90" t="s">
        <v>17</v>
      </c>
      <c r="J12" s="89" t="s">
        <v>171</v>
      </c>
    </row>
    <row r="13" spans="1:10" x14ac:dyDescent="0.25">
      <c r="A13" s="89"/>
      <c r="B13" s="89"/>
      <c r="C13" s="89"/>
      <c r="D13" s="89"/>
      <c r="E13" s="89"/>
      <c r="F13" s="89"/>
      <c r="G13" s="104" t="s">
        <v>18</v>
      </c>
      <c r="H13" s="104"/>
      <c r="I13" s="90" t="s">
        <v>17</v>
      </c>
      <c r="J13" s="91" t="s">
        <v>172</v>
      </c>
    </row>
    <row r="14" spans="1:10" x14ac:dyDescent="0.25">
      <c r="A14" s="89"/>
      <c r="B14" s="89"/>
      <c r="C14" s="89"/>
      <c r="D14" s="89"/>
      <c r="E14" s="89"/>
      <c r="F14" s="89"/>
      <c r="G14" s="104" t="s">
        <v>50</v>
      </c>
      <c r="H14" s="104"/>
      <c r="I14" s="90" t="s">
        <v>17</v>
      </c>
      <c r="J14" s="89" t="s">
        <v>173</v>
      </c>
    </row>
    <row r="15" spans="1:10" x14ac:dyDescent="0.25">
      <c r="A15" s="89" t="s">
        <v>19</v>
      </c>
      <c r="B15" s="89" t="s">
        <v>20</v>
      </c>
      <c r="C15" s="89"/>
      <c r="D15" s="89"/>
      <c r="E15" s="89"/>
      <c r="F15" s="89"/>
      <c r="G15" s="89"/>
      <c r="H15" s="92"/>
      <c r="I15" s="90"/>
      <c r="J15" s="89" t="s">
        <v>174</v>
      </c>
    </row>
    <row r="16" spans="1:10" ht="16.5" thickBot="1" x14ac:dyDescent="0.3">
      <c r="A16" s="89"/>
      <c r="B16" s="89"/>
      <c r="C16" s="89"/>
      <c r="D16" s="89"/>
      <c r="E16" s="89"/>
      <c r="F16" s="89"/>
      <c r="G16" s="89"/>
      <c r="H16" s="92"/>
      <c r="I16" s="92"/>
      <c r="J16" s="89"/>
    </row>
    <row r="17" spans="1:12" ht="26.25" customHeight="1" x14ac:dyDescent="0.25">
      <c r="A17" s="93" t="s">
        <v>21</v>
      </c>
      <c r="B17" s="94" t="s">
        <v>22</v>
      </c>
      <c r="C17" s="94" t="s">
        <v>23</v>
      </c>
      <c r="D17" s="94" t="s">
        <v>24</v>
      </c>
      <c r="E17" s="94" t="s">
        <v>25</v>
      </c>
      <c r="F17" s="95" t="s">
        <v>26</v>
      </c>
      <c r="G17" s="95" t="s">
        <v>27</v>
      </c>
      <c r="H17" s="110" t="s">
        <v>28</v>
      </c>
      <c r="I17" s="111"/>
      <c r="J17" s="96" t="s">
        <v>29</v>
      </c>
    </row>
    <row r="18" spans="1:12" ht="48" customHeight="1" x14ac:dyDescent="0.25">
      <c r="A18" s="23">
        <v>1</v>
      </c>
      <c r="B18" s="24">
        <f>'402444'!E3</f>
        <v>44501</v>
      </c>
      <c r="C18" s="76">
        <f>'402444'!A3</f>
        <v>402444</v>
      </c>
      <c r="D18" s="25" t="s">
        <v>175</v>
      </c>
      <c r="E18" s="25" t="s">
        <v>59</v>
      </c>
      <c r="F18" s="26">
        <v>2</v>
      </c>
      <c r="G18" s="99">
        <v>100</v>
      </c>
      <c r="H18" s="105">
        <v>7000</v>
      </c>
      <c r="I18" s="106"/>
      <c r="J18" s="27">
        <f>G18*H18</f>
        <v>700000</v>
      </c>
      <c r="L18"/>
    </row>
    <row r="19" spans="1:12" ht="48" customHeight="1" x14ac:dyDescent="0.25">
      <c r="A19" s="23">
        <f>A18+1</f>
        <v>2</v>
      </c>
      <c r="B19" s="24">
        <f>'402449'!E3</f>
        <v>44502</v>
      </c>
      <c r="C19" s="76">
        <f>'402449'!A3</f>
        <v>402449</v>
      </c>
      <c r="D19" s="25" t="s">
        <v>175</v>
      </c>
      <c r="E19" s="25" t="s">
        <v>59</v>
      </c>
      <c r="F19" s="26">
        <v>7</v>
      </c>
      <c r="G19" s="100">
        <f>'402449'!N10</f>
        <v>347.28750000000002</v>
      </c>
      <c r="H19" s="105">
        <v>7000</v>
      </c>
      <c r="I19" s="106"/>
      <c r="J19" s="27">
        <f t="shared" ref="J19:J28" si="0">G19*H19</f>
        <v>2431012.5</v>
      </c>
      <c r="L19"/>
    </row>
    <row r="20" spans="1:12" ht="48" customHeight="1" x14ac:dyDescent="0.25">
      <c r="A20" s="23">
        <f t="shared" ref="A20:A36" si="1">A19+1</f>
        <v>3</v>
      </c>
      <c r="B20" s="24">
        <f>'402323'!E3</f>
        <v>44503</v>
      </c>
      <c r="C20" s="76">
        <f>'402323'!A3</f>
        <v>402323</v>
      </c>
      <c r="D20" s="25" t="s">
        <v>175</v>
      </c>
      <c r="E20" s="25" t="s">
        <v>59</v>
      </c>
      <c r="F20" s="26">
        <v>7</v>
      </c>
      <c r="G20" s="100">
        <f>'402323'!N10</f>
        <v>301</v>
      </c>
      <c r="H20" s="105">
        <v>7000</v>
      </c>
      <c r="I20" s="106"/>
      <c r="J20" s="27">
        <f t="shared" si="0"/>
        <v>2107000</v>
      </c>
      <c r="L20"/>
    </row>
    <row r="21" spans="1:12" ht="48" customHeight="1" x14ac:dyDescent="0.25">
      <c r="A21" s="23">
        <f t="shared" si="1"/>
        <v>4</v>
      </c>
      <c r="B21" s="24">
        <f>'403328'!E3</f>
        <v>44504</v>
      </c>
      <c r="C21" s="76">
        <f>'403328'!A3</f>
        <v>403328</v>
      </c>
      <c r="D21" s="25" t="s">
        <v>175</v>
      </c>
      <c r="E21" s="25" t="s">
        <v>59</v>
      </c>
      <c r="F21" s="26">
        <v>1</v>
      </c>
      <c r="G21" s="100">
        <v>100</v>
      </c>
      <c r="H21" s="105">
        <v>7000</v>
      </c>
      <c r="I21" s="106"/>
      <c r="J21" s="27">
        <f>G21*H21</f>
        <v>700000</v>
      </c>
      <c r="L21"/>
    </row>
    <row r="22" spans="1:12" ht="48" customHeight="1" x14ac:dyDescent="0.25">
      <c r="A22" s="23">
        <f t="shared" si="1"/>
        <v>5</v>
      </c>
      <c r="B22" s="24">
        <f>'402336'!E3</f>
        <v>44506</v>
      </c>
      <c r="C22" s="76">
        <f>'402336'!A3</f>
        <v>402336</v>
      </c>
      <c r="D22" s="25" t="s">
        <v>175</v>
      </c>
      <c r="E22" s="25" t="s">
        <v>59</v>
      </c>
      <c r="F22" s="26">
        <v>3</v>
      </c>
      <c r="G22" s="100">
        <f>'402336'!N6</f>
        <v>105.84</v>
      </c>
      <c r="H22" s="105">
        <v>7000</v>
      </c>
      <c r="I22" s="106"/>
      <c r="J22" s="27">
        <f>G22*H22</f>
        <v>740880</v>
      </c>
      <c r="L22"/>
    </row>
    <row r="23" spans="1:12" ht="48" customHeight="1" x14ac:dyDescent="0.25">
      <c r="A23" s="23">
        <f t="shared" si="1"/>
        <v>6</v>
      </c>
      <c r="B23" s="24">
        <f>'402344'!E3</f>
        <v>44508</v>
      </c>
      <c r="C23" s="76">
        <f>'402344'!A3</f>
        <v>402344</v>
      </c>
      <c r="D23" s="25" t="s">
        <v>175</v>
      </c>
      <c r="E23" s="25" t="s">
        <v>59</v>
      </c>
      <c r="F23" s="26">
        <v>1</v>
      </c>
      <c r="G23" s="100">
        <v>100</v>
      </c>
      <c r="H23" s="105">
        <v>7000</v>
      </c>
      <c r="I23" s="106"/>
      <c r="J23" s="27">
        <f>G23*H23</f>
        <v>700000</v>
      </c>
      <c r="L23"/>
    </row>
    <row r="24" spans="1:12" ht="48" customHeight="1" x14ac:dyDescent="0.25">
      <c r="A24" s="23">
        <f t="shared" si="1"/>
        <v>7</v>
      </c>
      <c r="B24" s="24">
        <f>'403857'!E3</f>
        <v>44511</v>
      </c>
      <c r="C24" s="76">
        <f>'403857'!A3</f>
        <v>403857</v>
      </c>
      <c r="D24" s="25" t="s">
        <v>175</v>
      </c>
      <c r="E24" s="25" t="s">
        <v>59</v>
      </c>
      <c r="F24" s="26">
        <v>11</v>
      </c>
      <c r="G24" s="100">
        <f>'403857'!N14</f>
        <v>201.55199999999999</v>
      </c>
      <c r="H24" s="105">
        <v>7000</v>
      </c>
      <c r="I24" s="106"/>
      <c r="J24" s="27">
        <f t="shared" si="0"/>
        <v>1410864</v>
      </c>
      <c r="L24"/>
    </row>
    <row r="25" spans="1:12" ht="48" customHeight="1" x14ac:dyDescent="0.25">
      <c r="A25" s="23">
        <f t="shared" si="1"/>
        <v>8</v>
      </c>
      <c r="B25" s="24">
        <f>'403861'!E3</f>
        <v>44512</v>
      </c>
      <c r="C25" s="76">
        <f>'403861'!A3</f>
        <v>403861</v>
      </c>
      <c r="D25" s="25" t="s">
        <v>175</v>
      </c>
      <c r="E25" s="25" t="s">
        <v>59</v>
      </c>
      <c r="F25" s="26">
        <v>3</v>
      </c>
      <c r="G25" s="100">
        <f>'403861'!N6</f>
        <v>149.76900000000001</v>
      </c>
      <c r="H25" s="105">
        <v>7000</v>
      </c>
      <c r="I25" s="106"/>
      <c r="J25" s="27">
        <f t="shared" si="0"/>
        <v>1048383</v>
      </c>
      <c r="L25"/>
    </row>
    <row r="26" spans="1:12" ht="48" customHeight="1" x14ac:dyDescent="0.25">
      <c r="A26" s="23">
        <f t="shared" si="1"/>
        <v>9</v>
      </c>
      <c r="B26" s="24">
        <f>'403869'!E3</f>
        <v>44513</v>
      </c>
      <c r="C26" s="76">
        <f>'403869'!A3</f>
        <v>403869</v>
      </c>
      <c r="D26" s="25" t="s">
        <v>175</v>
      </c>
      <c r="E26" s="25" t="s">
        <v>59</v>
      </c>
      <c r="F26" s="26">
        <v>6</v>
      </c>
      <c r="G26" s="100">
        <v>100</v>
      </c>
      <c r="H26" s="105">
        <v>7000</v>
      </c>
      <c r="I26" s="106"/>
      <c r="J26" s="27">
        <f t="shared" si="0"/>
        <v>700000</v>
      </c>
      <c r="L26"/>
    </row>
    <row r="27" spans="1:12" ht="48" customHeight="1" x14ac:dyDescent="0.25">
      <c r="A27" s="23">
        <f t="shared" si="1"/>
        <v>10</v>
      </c>
      <c r="B27" s="24">
        <f>'403881'!E3</f>
        <v>44517</v>
      </c>
      <c r="C27" s="76">
        <f>'403881'!A3</f>
        <v>403881</v>
      </c>
      <c r="D27" s="25" t="s">
        <v>175</v>
      </c>
      <c r="E27" s="25" t="s">
        <v>59</v>
      </c>
      <c r="F27" s="26">
        <v>5</v>
      </c>
      <c r="G27" s="100">
        <v>100</v>
      </c>
      <c r="H27" s="105">
        <v>7000</v>
      </c>
      <c r="I27" s="106"/>
      <c r="J27" s="27">
        <f t="shared" si="0"/>
        <v>700000</v>
      </c>
      <c r="L27"/>
    </row>
    <row r="28" spans="1:12" ht="48" customHeight="1" x14ac:dyDescent="0.25">
      <c r="A28" s="23">
        <f t="shared" si="1"/>
        <v>11</v>
      </c>
      <c r="B28" s="24">
        <f>'403884'!E3</f>
        <v>44518</v>
      </c>
      <c r="C28" s="76">
        <f>'403884'!A3</f>
        <v>403884</v>
      </c>
      <c r="D28" s="25" t="s">
        <v>175</v>
      </c>
      <c r="E28" s="25" t="s">
        <v>59</v>
      </c>
      <c r="F28" s="26">
        <v>1</v>
      </c>
      <c r="G28" s="100">
        <v>100</v>
      </c>
      <c r="H28" s="105">
        <v>7000</v>
      </c>
      <c r="I28" s="106"/>
      <c r="J28" s="27">
        <f t="shared" si="0"/>
        <v>700000</v>
      </c>
      <c r="L28"/>
    </row>
    <row r="29" spans="1:12" ht="48" customHeight="1" x14ac:dyDescent="0.25">
      <c r="A29" s="23">
        <f t="shared" si="1"/>
        <v>12</v>
      </c>
      <c r="B29" s="24">
        <f>'403893'!E3</f>
        <v>44519</v>
      </c>
      <c r="C29" s="76">
        <f>'403893'!A3</f>
        <v>403893</v>
      </c>
      <c r="D29" s="25" t="s">
        <v>175</v>
      </c>
      <c r="E29" s="25" t="s">
        <v>59</v>
      </c>
      <c r="F29" s="26">
        <v>10</v>
      </c>
      <c r="G29" s="100">
        <f>'403893'!N13</f>
        <v>661.66500000000019</v>
      </c>
      <c r="H29" s="105">
        <v>7000</v>
      </c>
      <c r="I29" s="106"/>
      <c r="J29" s="27">
        <f t="shared" ref="J29:J35" si="2">G29*H29</f>
        <v>4631655.0000000009</v>
      </c>
      <c r="L29"/>
    </row>
    <row r="30" spans="1:12" ht="48" customHeight="1" x14ac:dyDescent="0.25">
      <c r="A30" s="23">
        <f t="shared" si="1"/>
        <v>13</v>
      </c>
      <c r="B30" s="24">
        <f>'403896'!E3</f>
        <v>44520</v>
      </c>
      <c r="C30" s="76">
        <f>'403896'!A3</f>
        <v>403896</v>
      </c>
      <c r="D30" s="25" t="s">
        <v>175</v>
      </c>
      <c r="E30" s="25" t="s">
        <v>59</v>
      </c>
      <c r="F30" s="26">
        <v>1</v>
      </c>
      <c r="G30" s="100">
        <v>100</v>
      </c>
      <c r="H30" s="105">
        <v>7000</v>
      </c>
      <c r="I30" s="106"/>
      <c r="J30" s="27">
        <f t="shared" si="2"/>
        <v>700000</v>
      </c>
      <c r="L30"/>
    </row>
    <row r="31" spans="1:12" ht="48" customHeight="1" x14ac:dyDescent="0.25">
      <c r="A31" s="23">
        <f t="shared" si="1"/>
        <v>14</v>
      </c>
      <c r="B31" s="24">
        <f>'403899'!E3</f>
        <v>44521</v>
      </c>
      <c r="C31" s="76">
        <f>'403899'!A3</f>
        <v>403899</v>
      </c>
      <c r="D31" s="25" t="s">
        <v>175</v>
      </c>
      <c r="E31" s="25" t="s">
        <v>59</v>
      </c>
      <c r="F31" s="26">
        <v>2</v>
      </c>
      <c r="G31" s="100">
        <v>100</v>
      </c>
      <c r="H31" s="105">
        <v>7000</v>
      </c>
      <c r="I31" s="106"/>
      <c r="J31" s="27">
        <f t="shared" si="2"/>
        <v>700000</v>
      </c>
      <c r="L31"/>
    </row>
    <row r="32" spans="1:12" ht="48" customHeight="1" x14ac:dyDescent="0.25">
      <c r="A32" s="23">
        <f t="shared" si="1"/>
        <v>15</v>
      </c>
      <c r="B32" s="24">
        <f>'403706'!E3</f>
        <v>44524</v>
      </c>
      <c r="C32" s="76">
        <f>'403706'!A3</f>
        <v>403706</v>
      </c>
      <c r="D32" s="25" t="s">
        <v>175</v>
      </c>
      <c r="E32" s="25" t="s">
        <v>59</v>
      </c>
      <c r="F32" s="26">
        <v>9</v>
      </c>
      <c r="G32" s="100">
        <v>100</v>
      </c>
      <c r="H32" s="105">
        <v>7000</v>
      </c>
      <c r="I32" s="106"/>
      <c r="J32" s="27">
        <f t="shared" si="2"/>
        <v>700000</v>
      </c>
      <c r="L32"/>
    </row>
    <row r="33" spans="1:12" ht="48" customHeight="1" x14ac:dyDescent="0.25">
      <c r="A33" s="23">
        <f t="shared" si="1"/>
        <v>16</v>
      </c>
      <c r="B33" s="24">
        <f>'403719'!E3</f>
        <v>44526</v>
      </c>
      <c r="C33" s="76">
        <f>'403719'!A3</f>
        <v>403719</v>
      </c>
      <c r="D33" s="25" t="s">
        <v>175</v>
      </c>
      <c r="E33" s="25" t="s">
        <v>59</v>
      </c>
      <c r="F33" s="26">
        <v>9</v>
      </c>
      <c r="G33" s="100">
        <f>'403719'!N12</f>
        <v>112</v>
      </c>
      <c r="H33" s="105">
        <v>7000</v>
      </c>
      <c r="I33" s="106"/>
      <c r="J33" s="27">
        <f t="shared" si="2"/>
        <v>784000</v>
      </c>
      <c r="L33"/>
    </row>
    <row r="34" spans="1:12" ht="48" customHeight="1" x14ac:dyDescent="0.25">
      <c r="A34" s="23">
        <f t="shared" si="1"/>
        <v>17</v>
      </c>
      <c r="B34" s="24">
        <f>'403723'!E3</f>
        <v>44527</v>
      </c>
      <c r="C34" s="76">
        <f>'403723'!A3</f>
        <v>403723</v>
      </c>
      <c r="D34" s="25" t="s">
        <v>175</v>
      </c>
      <c r="E34" s="25" t="s">
        <v>59</v>
      </c>
      <c r="F34" s="26">
        <v>1</v>
      </c>
      <c r="G34" s="100">
        <v>100</v>
      </c>
      <c r="H34" s="105">
        <v>7000</v>
      </c>
      <c r="I34" s="106"/>
      <c r="J34" s="27">
        <f t="shared" si="2"/>
        <v>700000</v>
      </c>
      <c r="L34"/>
    </row>
    <row r="35" spans="1:12" ht="48" customHeight="1" x14ac:dyDescent="0.25">
      <c r="A35" s="23">
        <f t="shared" si="1"/>
        <v>18</v>
      </c>
      <c r="B35" s="24">
        <f>'403732'!E3</f>
        <v>44528</v>
      </c>
      <c r="C35" s="76">
        <f>'403732'!A3</f>
        <v>403732</v>
      </c>
      <c r="D35" s="25" t="s">
        <v>175</v>
      </c>
      <c r="E35" s="25" t="s">
        <v>59</v>
      </c>
      <c r="F35" s="26">
        <v>9</v>
      </c>
      <c r="G35" s="100">
        <f>'403732'!N12</f>
        <v>104.733</v>
      </c>
      <c r="H35" s="105">
        <v>7000</v>
      </c>
      <c r="I35" s="106"/>
      <c r="J35" s="27">
        <f t="shared" si="2"/>
        <v>733131</v>
      </c>
      <c r="L35"/>
    </row>
    <row r="36" spans="1:12" ht="48" customHeight="1" x14ac:dyDescent="0.25">
      <c r="A36" s="23">
        <f t="shared" si="1"/>
        <v>19</v>
      </c>
      <c r="B36" s="24">
        <f>Table224578910112345678910111213141516171819[Pick Up]</f>
        <v>44530</v>
      </c>
      <c r="C36" s="76">
        <f>'403741'!A3</f>
        <v>403741</v>
      </c>
      <c r="D36" s="25" t="s">
        <v>175</v>
      </c>
      <c r="E36" s="25" t="s">
        <v>59</v>
      </c>
      <c r="F36" s="26">
        <v>1</v>
      </c>
      <c r="G36" s="100">
        <v>100</v>
      </c>
      <c r="H36" s="105">
        <v>7000</v>
      </c>
      <c r="I36" s="106"/>
      <c r="J36" s="27">
        <f t="shared" ref="J36" si="3">G36*H36</f>
        <v>700000</v>
      </c>
      <c r="L36"/>
    </row>
    <row r="37" spans="1:12" ht="32.25" customHeight="1" thickBot="1" x14ac:dyDescent="0.3">
      <c r="A37" s="112" t="s">
        <v>30</v>
      </c>
      <c r="B37" s="113"/>
      <c r="C37" s="113"/>
      <c r="D37" s="113"/>
      <c r="E37" s="113"/>
      <c r="F37" s="113"/>
      <c r="G37" s="113"/>
      <c r="H37" s="113"/>
      <c r="I37" s="114"/>
      <c r="J37" s="28">
        <f>SUM(J18:J36)</f>
        <v>21586925.5</v>
      </c>
      <c r="L37" s="74">
        <f>'402444'!P10+'402449'!P15+'402323'!P15+'403328'!P9+'402336'!P11+'402344'!P9+'403857'!P19+'403861'!P11+'403869'!P14+'403881'!P13+'403884'!P9+'403893'!P18+'403896'!P9+'403899'!P10+'403706'!P17+'403719'!P17+'403723'!P9+'403732'!P17+'403741'!P9</f>
        <v>15008035.407750001</v>
      </c>
    </row>
    <row r="38" spans="1:12" x14ac:dyDescent="0.25">
      <c r="A38" s="115"/>
      <c r="B38" s="115"/>
      <c r="C38" s="29"/>
      <c r="D38" s="29"/>
      <c r="E38" s="29"/>
      <c r="F38" s="29"/>
      <c r="G38" s="29"/>
      <c r="H38" s="30"/>
      <c r="I38" s="30"/>
      <c r="J38" s="31"/>
    </row>
    <row r="39" spans="1:12" x14ac:dyDescent="0.25">
      <c r="A39" s="77"/>
      <c r="B39" s="77"/>
      <c r="C39" s="77"/>
      <c r="D39" s="77"/>
      <c r="E39" s="77"/>
      <c r="F39" s="77"/>
      <c r="G39" s="32" t="s">
        <v>51</v>
      </c>
      <c r="H39" s="32"/>
      <c r="I39" s="30"/>
      <c r="J39" s="31">
        <f>J37*10%</f>
        <v>2158692.5500000003</v>
      </c>
      <c r="L39" s="33"/>
    </row>
    <row r="40" spans="1:12" x14ac:dyDescent="0.25">
      <c r="A40" s="77"/>
      <c r="B40" s="77"/>
      <c r="C40" s="77"/>
      <c r="D40" s="77"/>
      <c r="E40" s="77"/>
      <c r="F40" s="77"/>
      <c r="G40" s="84" t="s">
        <v>52</v>
      </c>
      <c r="H40" s="84"/>
      <c r="I40" s="85"/>
      <c r="J40" s="87">
        <f>J37-J39</f>
        <v>19428232.949999999</v>
      </c>
      <c r="L40" s="33"/>
    </row>
    <row r="41" spans="1:12" x14ac:dyDescent="0.25">
      <c r="A41" s="77"/>
      <c r="B41" s="77"/>
      <c r="C41" s="77"/>
      <c r="D41" s="77"/>
      <c r="E41" s="77"/>
      <c r="F41" s="77"/>
      <c r="G41" s="32" t="s">
        <v>31</v>
      </c>
      <c r="H41" s="32"/>
      <c r="I41" s="33" t="e">
        <f>#REF!*1%</f>
        <v>#REF!</v>
      </c>
      <c r="J41" s="31">
        <f>J40*1%</f>
        <v>194282.32949999999</v>
      </c>
    </row>
    <row r="42" spans="1:12" ht="16.5" thickBot="1" x14ac:dyDescent="0.3">
      <c r="A42" s="77"/>
      <c r="B42" s="77"/>
      <c r="C42" s="77"/>
      <c r="D42" s="77"/>
      <c r="E42" s="77"/>
      <c r="F42" s="77"/>
      <c r="G42" s="86" t="s">
        <v>54</v>
      </c>
      <c r="H42" s="86"/>
      <c r="I42" s="34">
        <f>I38*10%</f>
        <v>0</v>
      </c>
      <c r="J42" s="34">
        <f>J40*2%</f>
        <v>388564.65899999999</v>
      </c>
    </row>
    <row r="43" spans="1:12" x14ac:dyDescent="0.25">
      <c r="E43" s="17"/>
      <c r="F43" s="17"/>
      <c r="G43" s="35" t="s">
        <v>55</v>
      </c>
      <c r="H43" s="35"/>
      <c r="I43" s="36" t="e">
        <f>I37+I41</f>
        <v>#REF!</v>
      </c>
      <c r="J43" s="36">
        <f>J40+J41-J42</f>
        <v>19233950.620499998</v>
      </c>
    </row>
    <row r="44" spans="1:12" x14ac:dyDescent="0.25">
      <c r="E44" s="17"/>
      <c r="F44" s="17"/>
      <c r="G44" s="35"/>
      <c r="H44" s="35"/>
      <c r="I44" s="36"/>
      <c r="J44" s="36"/>
    </row>
    <row r="45" spans="1:12" x14ac:dyDescent="0.25">
      <c r="A45" s="17" t="s">
        <v>186</v>
      </c>
      <c r="D45" s="17"/>
      <c r="E45" s="17"/>
      <c r="F45" s="17"/>
      <c r="G45" s="17"/>
      <c r="H45" s="35"/>
      <c r="I45" s="35"/>
      <c r="J45" s="36"/>
    </row>
    <row r="46" spans="1:12" x14ac:dyDescent="0.25">
      <c r="A46" s="37"/>
      <c r="D46" s="17"/>
      <c r="E46" s="17"/>
      <c r="F46" s="17"/>
      <c r="G46" s="17"/>
      <c r="H46" s="35"/>
      <c r="I46" s="35"/>
      <c r="J46" s="36"/>
    </row>
    <row r="47" spans="1:12" x14ac:dyDescent="0.25">
      <c r="D47" s="17"/>
      <c r="E47" s="17"/>
      <c r="F47" s="17"/>
      <c r="G47" s="17"/>
      <c r="H47" s="35"/>
      <c r="I47" s="35"/>
      <c r="J47" s="36"/>
    </row>
    <row r="48" spans="1:12" x14ac:dyDescent="0.25">
      <c r="A48" s="38" t="s">
        <v>33</v>
      </c>
    </row>
    <row r="49" spans="1:10" x14ac:dyDescent="0.25">
      <c r="A49" s="39" t="s">
        <v>34</v>
      </c>
      <c r="B49" s="40"/>
      <c r="C49" s="40"/>
      <c r="D49" s="41"/>
      <c r="E49" s="41"/>
      <c r="F49" s="41"/>
      <c r="G49" s="41"/>
    </row>
    <row r="50" spans="1:10" x14ac:dyDescent="0.25">
      <c r="A50" s="39" t="s">
        <v>35</v>
      </c>
      <c r="B50" s="40"/>
      <c r="C50" s="40"/>
      <c r="D50" s="41"/>
      <c r="E50" s="41"/>
      <c r="F50" s="41"/>
      <c r="G50" s="41"/>
    </row>
    <row r="51" spans="1:10" x14ac:dyDescent="0.25">
      <c r="A51" s="42" t="s">
        <v>36</v>
      </c>
      <c r="B51" s="43"/>
      <c r="C51" s="43"/>
      <c r="D51" s="41"/>
      <c r="E51" s="41"/>
      <c r="F51" s="41"/>
      <c r="G51" s="41"/>
    </row>
    <row r="52" spans="1:10" x14ac:dyDescent="0.25">
      <c r="A52" s="44" t="s">
        <v>8</v>
      </c>
      <c r="B52" s="45"/>
      <c r="C52" s="45"/>
      <c r="D52" s="41"/>
      <c r="E52" s="41"/>
      <c r="F52" s="41"/>
      <c r="G52" s="41"/>
    </row>
    <row r="53" spans="1:10" x14ac:dyDescent="0.25">
      <c r="A53" s="46"/>
      <c r="B53" s="46"/>
      <c r="C53" s="46"/>
    </row>
    <row r="54" spans="1:10" x14ac:dyDescent="0.25">
      <c r="H54" s="47" t="s">
        <v>37</v>
      </c>
      <c r="I54" s="101" t="str">
        <f>+J13</f>
        <v xml:space="preserve"> 13 Desember  21</v>
      </c>
      <c r="J54" s="102"/>
    </row>
    <row r="58" spans="1:10" ht="18" customHeight="1" x14ac:dyDescent="0.25"/>
    <row r="59" spans="1:10" ht="17.25" customHeight="1" x14ac:dyDescent="0.25"/>
    <row r="61" spans="1:10" x14ac:dyDescent="0.25">
      <c r="H61" s="103" t="s">
        <v>38</v>
      </c>
      <c r="I61" s="103"/>
      <c r="J61" s="103"/>
    </row>
  </sheetData>
  <mergeCells count="28">
    <mergeCell ref="A10:J10"/>
    <mergeCell ref="H17:I17"/>
    <mergeCell ref="H18:I18"/>
    <mergeCell ref="A37:I37"/>
    <mergeCell ref="A38:B38"/>
    <mergeCell ref="H19:I19"/>
    <mergeCell ref="H20:I20"/>
    <mergeCell ref="H24:I24"/>
    <mergeCell ref="H22:I22"/>
    <mergeCell ref="H21:I21"/>
    <mergeCell ref="H25:I25"/>
    <mergeCell ref="H28:I28"/>
    <mergeCell ref="H23:I23"/>
    <mergeCell ref="I54:J54"/>
    <mergeCell ref="H61:J61"/>
    <mergeCell ref="G14:H14"/>
    <mergeCell ref="G13:H13"/>
    <mergeCell ref="G12:H12"/>
    <mergeCell ref="H26:I26"/>
    <mergeCell ref="H27:I27"/>
    <mergeCell ref="H29:I29"/>
    <mergeCell ref="H30:I30"/>
    <mergeCell ref="H31:I31"/>
    <mergeCell ref="H32:I32"/>
    <mergeCell ref="H33:I33"/>
    <mergeCell ref="H34:I34"/>
    <mergeCell ref="H35:I35"/>
    <mergeCell ref="H36:I36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9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10" sqref="O1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75">
        <v>403869</v>
      </c>
      <c r="B3" s="67" t="s">
        <v>109</v>
      </c>
      <c r="C3" s="9" t="s">
        <v>110</v>
      </c>
      <c r="D3" s="69" t="s">
        <v>59</v>
      </c>
      <c r="E3" s="13">
        <v>44513</v>
      </c>
      <c r="F3" s="69" t="s">
        <v>60</v>
      </c>
      <c r="G3" s="13">
        <v>44520</v>
      </c>
      <c r="H3" s="10" t="s">
        <v>108</v>
      </c>
      <c r="I3" s="1">
        <v>43</v>
      </c>
      <c r="J3" s="1">
        <v>33</v>
      </c>
      <c r="K3" s="1">
        <v>29</v>
      </c>
      <c r="L3" s="1">
        <v>9</v>
      </c>
      <c r="M3" s="72">
        <v>10.287750000000001</v>
      </c>
      <c r="N3" s="88">
        <v>10.287750000000001</v>
      </c>
      <c r="O3" s="57">
        <v>7000</v>
      </c>
      <c r="P3" s="58">
        <f>Table224578910112345678910[[#This Row],[PEMBULATAN]]*O3</f>
        <v>72014.25</v>
      </c>
    </row>
    <row r="4" spans="1:16" ht="26.25" customHeight="1" x14ac:dyDescent="0.2">
      <c r="A4" s="14"/>
      <c r="B4" s="68"/>
      <c r="C4" s="9" t="s">
        <v>111</v>
      </c>
      <c r="D4" s="69" t="s">
        <v>59</v>
      </c>
      <c r="E4" s="13">
        <v>44513</v>
      </c>
      <c r="F4" s="69" t="s">
        <v>60</v>
      </c>
      <c r="G4" s="13">
        <v>44520</v>
      </c>
      <c r="H4" s="10" t="s">
        <v>108</v>
      </c>
      <c r="I4" s="1">
        <v>43</v>
      </c>
      <c r="J4" s="1">
        <v>33</v>
      </c>
      <c r="K4" s="1">
        <v>29</v>
      </c>
      <c r="L4" s="1">
        <v>9</v>
      </c>
      <c r="M4" s="72">
        <v>10.287750000000001</v>
      </c>
      <c r="N4" s="88">
        <v>10.287750000000001</v>
      </c>
      <c r="O4" s="57">
        <v>7000</v>
      </c>
      <c r="P4" s="58">
        <f>Table224578910112345678910[[#This Row],[PEMBULATAN]]*O4</f>
        <v>72014.25</v>
      </c>
    </row>
    <row r="5" spans="1:16" ht="26.25" customHeight="1" x14ac:dyDescent="0.2">
      <c r="A5" s="14"/>
      <c r="B5" s="14"/>
      <c r="C5" s="9" t="s">
        <v>112</v>
      </c>
      <c r="D5" s="69" t="s">
        <v>59</v>
      </c>
      <c r="E5" s="13">
        <v>44513</v>
      </c>
      <c r="F5" s="69" t="s">
        <v>60</v>
      </c>
      <c r="G5" s="13">
        <v>44520</v>
      </c>
      <c r="H5" s="10" t="s">
        <v>108</v>
      </c>
      <c r="I5" s="1">
        <v>43</v>
      </c>
      <c r="J5" s="1">
        <v>33</v>
      </c>
      <c r="K5" s="1">
        <v>29</v>
      </c>
      <c r="L5" s="1">
        <v>9</v>
      </c>
      <c r="M5" s="72">
        <v>10.287750000000001</v>
      </c>
      <c r="N5" s="88">
        <v>10.287750000000001</v>
      </c>
      <c r="O5" s="57">
        <v>7000</v>
      </c>
      <c r="P5" s="58">
        <f>Table224578910112345678910[[#This Row],[PEMBULATAN]]*O5</f>
        <v>72014.25</v>
      </c>
    </row>
    <row r="6" spans="1:16" ht="26.25" customHeight="1" x14ac:dyDescent="0.2">
      <c r="A6" s="14"/>
      <c r="B6" s="14"/>
      <c r="C6" s="66" t="s">
        <v>113</v>
      </c>
      <c r="D6" s="69" t="s">
        <v>59</v>
      </c>
      <c r="E6" s="13">
        <v>44513</v>
      </c>
      <c r="F6" s="69" t="s">
        <v>60</v>
      </c>
      <c r="G6" s="13">
        <v>44520</v>
      </c>
      <c r="H6" s="70" t="s">
        <v>108</v>
      </c>
      <c r="I6" s="16">
        <v>43</v>
      </c>
      <c r="J6" s="16">
        <v>33</v>
      </c>
      <c r="K6" s="16">
        <v>29</v>
      </c>
      <c r="L6" s="16">
        <v>9</v>
      </c>
      <c r="M6" s="73">
        <v>10.287750000000001</v>
      </c>
      <c r="N6" s="88">
        <v>10.287750000000001</v>
      </c>
      <c r="O6" s="57">
        <v>7000</v>
      </c>
      <c r="P6" s="58">
        <f>Table224578910112345678910[[#This Row],[PEMBULATAN]]*O6</f>
        <v>72014.25</v>
      </c>
    </row>
    <row r="7" spans="1:16" ht="26.25" customHeight="1" x14ac:dyDescent="0.2">
      <c r="A7" s="14"/>
      <c r="B7" s="14"/>
      <c r="C7" s="66" t="s">
        <v>114</v>
      </c>
      <c r="D7" s="69" t="s">
        <v>59</v>
      </c>
      <c r="E7" s="13">
        <v>44513</v>
      </c>
      <c r="F7" s="69" t="s">
        <v>60</v>
      </c>
      <c r="G7" s="13">
        <v>44520</v>
      </c>
      <c r="H7" s="70" t="s">
        <v>108</v>
      </c>
      <c r="I7" s="16">
        <v>43</v>
      </c>
      <c r="J7" s="16">
        <v>33</v>
      </c>
      <c r="K7" s="16">
        <v>29</v>
      </c>
      <c r="L7" s="16">
        <v>9</v>
      </c>
      <c r="M7" s="73">
        <v>10.287750000000001</v>
      </c>
      <c r="N7" s="88">
        <v>10.287750000000001</v>
      </c>
      <c r="O7" s="57">
        <v>7000</v>
      </c>
      <c r="P7" s="58">
        <f>Table224578910112345678910[[#This Row],[PEMBULATAN]]*O7</f>
        <v>72014.25</v>
      </c>
    </row>
    <row r="8" spans="1:16" ht="26.25" customHeight="1" x14ac:dyDescent="0.2">
      <c r="A8" s="14"/>
      <c r="B8" s="14"/>
      <c r="C8" s="66" t="s">
        <v>115</v>
      </c>
      <c r="D8" s="69" t="s">
        <v>59</v>
      </c>
      <c r="E8" s="13">
        <v>44513</v>
      </c>
      <c r="F8" s="69" t="s">
        <v>60</v>
      </c>
      <c r="G8" s="13">
        <v>44520</v>
      </c>
      <c r="H8" s="70" t="s">
        <v>108</v>
      </c>
      <c r="I8" s="16">
        <v>43</v>
      </c>
      <c r="J8" s="16">
        <v>33</v>
      </c>
      <c r="K8" s="16">
        <v>29</v>
      </c>
      <c r="L8" s="16">
        <v>9</v>
      </c>
      <c r="M8" s="73">
        <v>10.287750000000001</v>
      </c>
      <c r="N8" s="88">
        <v>10.287750000000001</v>
      </c>
      <c r="O8" s="57">
        <v>7000</v>
      </c>
      <c r="P8" s="58">
        <f>Table224578910112345678910[[#This Row],[PEMBULATAN]]*O8</f>
        <v>72014.25</v>
      </c>
    </row>
    <row r="9" spans="1:16" ht="22.5" customHeight="1" x14ac:dyDescent="0.2">
      <c r="A9" s="116" t="s">
        <v>30</v>
      </c>
      <c r="B9" s="117"/>
      <c r="C9" s="117"/>
      <c r="D9" s="117"/>
      <c r="E9" s="117"/>
      <c r="F9" s="117"/>
      <c r="G9" s="117"/>
      <c r="H9" s="117"/>
      <c r="I9" s="117"/>
      <c r="J9" s="117"/>
      <c r="K9" s="117"/>
      <c r="L9" s="118"/>
      <c r="M9" s="71">
        <f>SUBTOTAL(109,Table224578910112345678910[KG VOLUME])</f>
        <v>61.726500000000009</v>
      </c>
      <c r="N9" s="61">
        <f>SUM(N3:N8)</f>
        <v>61.726500000000009</v>
      </c>
      <c r="O9" s="119">
        <f>SUM(P3:P8)</f>
        <v>432085.5</v>
      </c>
      <c r="P9" s="120"/>
    </row>
    <row r="10" spans="1:16" ht="18" customHeight="1" x14ac:dyDescent="0.2">
      <c r="A10" s="78"/>
      <c r="B10" s="49" t="s">
        <v>42</v>
      </c>
      <c r="C10" s="48"/>
      <c r="D10" s="50" t="s">
        <v>43</v>
      </c>
      <c r="E10" s="78"/>
      <c r="F10" s="78"/>
      <c r="G10" s="78"/>
      <c r="H10" s="78"/>
      <c r="I10" s="78"/>
      <c r="J10" s="78"/>
      <c r="K10" s="78"/>
      <c r="L10" s="78"/>
      <c r="M10" s="79"/>
      <c r="N10" s="80" t="s">
        <v>51</v>
      </c>
      <c r="O10" s="81"/>
      <c r="P10" s="81">
        <f>O9*10%</f>
        <v>43208.55</v>
      </c>
    </row>
    <row r="11" spans="1:16" ht="18" customHeight="1" thickBot="1" x14ac:dyDescent="0.25">
      <c r="A11" s="78"/>
      <c r="B11" s="49"/>
      <c r="C11" s="48"/>
      <c r="D11" s="50"/>
      <c r="E11" s="78"/>
      <c r="F11" s="78"/>
      <c r="G11" s="78"/>
      <c r="H11" s="78"/>
      <c r="I11" s="78"/>
      <c r="J11" s="78"/>
      <c r="K11" s="78"/>
      <c r="L11" s="78"/>
      <c r="M11" s="79"/>
      <c r="N11" s="82" t="s">
        <v>52</v>
      </c>
      <c r="O11" s="83"/>
      <c r="P11" s="83">
        <f>O9-P10</f>
        <v>388876.95</v>
      </c>
    </row>
    <row r="12" spans="1:16" ht="18" customHeight="1" x14ac:dyDescent="0.2">
      <c r="A12" s="11"/>
      <c r="H12" s="56"/>
      <c r="N12" s="55" t="s">
        <v>31</v>
      </c>
      <c r="P12" s="62">
        <f>P11*1%</f>
        <v>3888.7695000000003</v>
      </c>
    </row>
    <row r="13" spans="1:16" ht="18" customHeight="1" thickBot="1" x14ac:dyDescent="0.25">
      <c r="A13" s="11"/>
      <c r="H13" s="56"/>
      <c r="N13" s="55" t="s">
        <v>53</v>
      </c>
      <c r="P13" s="64">
        <f>P11*2%</f>
        <v>7777.5390000000007</v>
      </c>
    </row>
    <row r="14" spans="1:16" ht="18" customHeight="1" x14ac:dyDescent="0.2">
      <c r="A14" s="11"/>
      <c r="H14" s="56"/>
      <c r="N14" s="59" t="s">
        <v>32</v>
      </c>
      <c r="O14" s="60"/>
      <c r="P14" s="63">
        <f>P11+P12-P13</f>
        <v>384988.18050000002</v>
      </c>
    </row>
    <row r="16" spans="1:16" x14ac:dyDescent="0.2">
      <c r="A16" s="11"/>
      <c r="H16" s="56"/>
      <c r="P16" s="64"/>
    </row>
    <row r="17" spans="1:16" x14ac:dyDescent="0.2">
      <c r="A17" s="11"/>
      <c r="H17" s="56"/>
      <c r="O17" s="51"/>
      <c r="P17" s="64"/>
    </row>
    <row r="18" spans="1:16" s="3" customFormat="1" x14ac:dyDescent="0.25">
      <c r="A18" s="11"/>
      <c r="B18" s="2"/>
      <c r="C18" s="2"/>
      <c r="E18" s="12"/>
      <c r="H18" s="56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56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56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56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56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56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56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56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56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56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56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56"/>
      <c r="N29" s="15"/>
      <c r="O29" s="15"/>
      <c r="P29" s="15"/>
    </row>
  </sheetData>
  <mergeCells count="2">
    <mergeCell ref="A9:L9"/>
    <mergeCell ref="O9:P9"/>
  </mergeCells>
  <conditionalFormatting sqref="B3">
    <cfRule type="duplicateValues" dxfId="188" priority="2"/>
  </conditionalFormatting>
  <conditionalFormatting sqref="B4">
    <cfRule type="duplicateValues" dxfId="187" priority="1"/>
  </conditionalFormatting>
  <conditionalFormatting sqref="B5:B8">
    <cfRule type="duplicateValues" dxfId="186" priority="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8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9" sqref="O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75">
        <v>403881</v>
      </c>
      <c r="B3" s="67" t="s">
        <v>116</v>
      </c>
      <c r="C3" s="9" t="s">
        <v>117</v>
      </c>
      <c r="D3" s="69" t="s">
        <v>59</v>
      </c>
      <c r="E3" s="13">
        <v>44517</v>
      </c>
      <c r="F3" s="69" t="s">
        <v>81</v>
      </c>
      <c r="G3" s="13">
        <v>44525</v>
      </c>
      <c r="H3" s="10" t="s">
        <v>123</v>
      </c>
      <c r="I3" s="1">
        <v>33</v>
      </c>
      <c r="J3" s="1">
        <v>36</v>
      </c>
      <c r="K3" s="1">
        <v>18</v>
      </c>
      <c r="L3" s="1">
        <v>4</v>
      </c>
      <c r="M3" s="72">
        <v>5.3460000000000001</v>
      </c>
      <c r="N3" s="8">
        <v>7</v>
      </c>
      <c r="O3" s="57">
        <v>7000</v>
      </c>
      <c r="P3" s="58">
        <f>Table22457891011234567891011[[#This Row],[PEMBULATAN]]*O3</f>
        <v>49000</v>
      </c>
    </row>
    <row r="4" spans="1:16" ht="26.25" customHeight="1" x14ac:dyDescent="0.2">
      <c r="A4" s="14"/>
      <c r="B4" s="68"/>
      <c r="C4" s="9" t="s">
        <v>118</v>
      </c>
      <c r="D4" s="69" t="s">
        <v>59</v>
      </c>
      <c r="E4" s="13">
        <v>44517</v>
      </c>
      <c r="F4" s="69" t="s">
        <v>81</v>
      </c>
      <c r="G4" s="13">
        <v>44525</v>
      </c>
      <c r="H4" s="10" t="s">
        <v>123</v>
      </c>
      <c r="I4" s="1">
        <v>22</v>
      </c>
      <c r="J4" s="1">
        <v>16</v>
      </c>
      <c r="K4" s="1">
        <v>6</v>
      </c>
      <c r="L4" s="1">
        <v>23</v>
      </c>
      <c r="M4" s="72">
        <v>0.52800000000000002</v>
      </c>
      <c r="N4" s="8">
        <v>23</v>
      </c>
      <c r="O4" s="57">
        <v>7000</v>
      </c>
      <c r="P4" s="58">
        <f>Table22457891011234567891011[[#This Row],[PEMBULATAN]]*O4</f>
        <v>161000</v>
      </c>
    </row>
    <row r="5" spans="1:16" ht="26.25" customHeight="1" x14ac:dyDescent="0.2">
      <c r="A5" s="14"/>
      <c r="B5" s="14"/>
      <c r="C5" s="9" t="s">
        <v>119</v>
      </c>
      <c r="D5" s="69" t="s">
        <v>59</v>
      </c>
      <c r="E5" s="13">
        <v>44517</v>
      </c>
      <c r="F5" s="69" t="s">
        <v>81</v>
      </c>
      <c r="G5" s="13">
        <v>44525</v>
      </c>
      <c r="H5" s="10" t="s">
        <v>123</v>
      </c>
      <c r="I5" s="1">
        <v>36</v>
      </c>
      <c r="J5" s="1">
        <v>28</v>
      </c>
      <c r="K5" s="1">
        <v>18</v>
      </c>
      <c r="L5" s="1">
        <v>10</v>
      </c>
      <c r="M5" s="72">
        <v>4.5359999999999996</v>
      </c>
      <c r="N5" s="8">
        <v>10</v>
      </c>
      <c r="O5" s="57">
        <v>7000</v>
      </c>
      <c r="P5" s="58">
        <f>Table22457891011234567891011[[#This Row],[PEMBULATAN]]*O5</f>
        <v>70000</v>
      </c>
    </row>
    <row r="6" spans="1:16" ht="26.25" customHeight="1" x14ac:dyDescent="0.2">
      <c r="A6" s="14"/>
      <c r="B6" s="14"/>
      <c r="C6" s="66" t="s">
        <v>120</v>
      </c>
      <c r="D6" s="69" t="s">
        <v>59</v>
      </c>
      <c r="E6" s="13">
        <v>44517</v>
      </c>
      <c r="F6" s="69" t="s">
        <v>81</v>
      </c>
      <c r="G6" s="13">
        <v>44525</v>
      </c>
      <c r="H6" s="70" t="s">
        <v>123</v>
      </c>
      <c r="I6" s="16">
        <v>42</v>
      </c>
      <c r="J6" s="16">
        <v>22</v>
      </c>
      <c r="K6" s="16">
        <v>18</v>
      </c>
      <c r="L6" s="16">
        <v>10</v>
      </c>
      <c r="M6" s="73">
        <v>4.1580000000000004</v>
      </c>
      <c r="N6" s="65">
        <v>10</v>
      </c>
      <c r="O6" s="57">
        <v>7000</v>
      </c>
      <c r="P6" s="58">
        <f>Table22457891011234567891011[[#This Row],[PEMBULATAN]]*O6</f>
        <v>70000</v>
      </c>
    </row>
    <row r="7" spans="1:16" ht="26.25" customHeight="1" x14ac:dyDescent="0.2">
      <c r="A7" s="14"/>
      <c r="B7" s="14"/>
      <c r="C7" s="66" t="s">
        <v>121</v>
      </c>
      <c r="D7" s="69" t="s">
        <v>59</v>
      </c>
      <c r="E7" s="13">
        <v>44517</v>
      </c>
      <c r="F7" s="69" t="s">
        <v>81</v>
      </c>
      <c r="G7" s="13">
        <v>44525</v>
      </c>
      <c r="H7" s="70" t="s">
        <v>123</v>
      </c>
      <c r="I7" s="16">
        <v>83</v>
      </c>
      <c r="J7" s="16">
        <v>50</v>
      </c>
      <c r="K7" s="16">
        <v>11</v>
      </c>
      <c r="L7" s="16">
        <v>10</v>
      </c>
      <c r="M7" s="73">
        <v>11.4125</v>
      </c>
      <c r="N7" s="65">
        <v>13</v>
      </c>
      <c r="O7" s="57">
        <v>7000</v>
      </c>
      <c r="P7" s="58">
        <f>Table22457891011234567891011[[#This Row],[PEMBULATAN]]*O7</f>
        <v>91000</v>
      </c>
    </row>
    <row r="8" spans="1:16" ht="22.5" customHeight="1" x14ac:dyDescent="0.2">
      <c r="A8" s="116" t="s">
        <v>30</v>
      </c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8"/>
      <c r="M8" s="71">
        <f>SUBTOTAL(109,Table22457891011234567891011[KG VOLUME])</f>
        <v>25.980499999999999</v>
      </c>
      <c r="N8" s="61">
        <f>SUM(N3:N7)</f>
        <v>63</v>
      </c>
      <c r="O8" s="119">
        <f>SUM(P3:P7)</f>
        <v>441000</v>
      </c>
      <c r="P8" s="120"/>
    </row>
    <row r="9" spans="1:16" ht="18" customHeight="1" x14ac:dyDescent="0.2">
      <c r="A9" s="78"/>
      <c r="B9" s="49" t="s">
        <v>42</v>
      </c>
      <c r="C9" s="48"/>
      <c r="D9" s="50" t="s">
        <v>43</v>
      </c>
      <c r="E9" s="78"/>
      <c r="F9" s="78"/>
      <c r="G9" s="78"/>
      <c r="H9" s="78"/>
      <c r="I9" s="78"/>
      <c r="J9" s="78"/>
      <c r="K9" s="78"/>
      <c r="L9" s="78"/>
      <c r="M9" s="79"/>
      <c r="N9" s="80" t="s">
        <v>51</v>
      </c>
      <c r="O9" s="81"/>
      <c r="P9" s="81">
        <f>O8*10%</f>
        <v>44100</v>
      </c>
    </row>
    <row r="10" spans="1:16" ht="18" customHeight="1" thickBot="1" x14ac:dyDescent="0.25">
      <c r="A10" s="78"/>
      <c r="B10" s="49"/>
      <c r="C10" s="48"/>
      <c r="D10" s="50"/>
      <c r="E10" s="78"/>
      <c r="F10" s="78"/>
      <c r="G10" s="78"/>
      <c r="H10" s="78"/>
      <c r="I10" s="78"/>
      <c r="J10" s="78"/>
      <c r="K10" s="78"/>
      <c r="L10" s="78"/>
      <c r="M10" s="79"/>
      <c r="N10" s="82" t="s">
        <v>52</v>
      </c>
      <c r="O10" s="83"/>
      <c r="P10" s="83">
        <f>O8-P9</f>
        <v>396900</v>
      </c>
    </row>
    <row r="11" spans="1:16" ht="18" customHeight="1" x14ac:dyDescent="0.2">
      <c r="A11" s="11"/>
      <c r="H11" s="56"/>
      <c r="N11" s="55" t="s">
        <v>31</v>
      </c>
      <c r="P11" s="62">
        <f>P10*1%</f>
        <v>3969</v>
      </c>
    </row>
    <row r="12" spans="1:16" ht="18" customHeight="1" thickBot="1" x14ac:dyDescent="0.25">
      <c r="A12" s="11"/>
      <c r="H12" s="56"/>
      <c r="N12" s="55" t="s">
        <v>53</v>
      </c>
      <c r="P12" s="64">
        <f>P10*2%</f>
        <v>7938</v>
      </c>
    </row>
    <row r="13" spans="1:16" ht="18" customHeight="1" x14ac:dyDescent="0.2">
      <c r="A13" s="11"/>
      <c r="H13" s="56"/>
      <c r="N13" s="59" t="s">
        <v>32</v>
      </c>
      <c r="O13" s="60"/>
      <c r="P13" s="63">
        <f>P10+P11-P12</f>
        <v>392931</v>
      </c>
    </row>
    <row r="15" spans="1:16" x14ac:dyDescent="0.2">
      <c r="A15" s="11"/>
      <c r="H15" s="56"/>
      <c r="P15" s="64"/>
    </row>
    <row r="16" spans="1:16" x14ac:dyDescent="0.2">
      <c r="A16" s="11"/>
      <c r="H16" s="56"/>
      <c r="O16" s="51"/>
      <c r="P16" s="64"/>
    </row>
    <row r="17" spans="1:16" s="3" customFormat="1" x14ac:dyDescent="0.25">
      <c r="A17" s="11"/>
      <c r="B17" s="2"/>
      <c r="C17" s="2"/>
      <c r="E17" s="12"/>
      <c r="H17" s="56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56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56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56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56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56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56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56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56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56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56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56"/>
      <c r="N28" s="15"/>
      <c r="O28" s="15"/>
      <c r="P28" s="15"/>
    </row>
  </sheetData>
  <mergeCells count="2">
    <mergeCell ref="A8:L8"/>
    <mergeCell ref="O8:P8"/>
  </mergeCells>
  <conditionalFormatting sqref="B3">
    <cfRule type="duplicateValues" dxfId="170" priority="2"/>
  </conditionalFormatting>
  <conditionalFormatting sqref="B4">
    <cfRule type="duplicateValues" dxfId="169" priority="1"/>
  </conditionalFormatting>
  <conditionalFormatting sqref="B5:B7">
    <cfRule type="duplicateValues" dxfId="168" priority="1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H10" sqref="H10"/>
    </sheetView>
  </sheetViews>
  <sheetFormatPr defaultRowHeight="15" x14ac:dyDescent="0.2"/>
  <cols>
    <col min="1" max="1" width="8" style="4" customWidth="1"/>
    <col min="2" max="2" width="21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75">
        <v>403884</v>
      </c>
      <c r="B3" s="67" t="s">
        <v>124</v>
      </c>
      <c r="C3" s="9" t="s">
        <v>125</v>
      </c>
      <c r="D3" s="69" t="s">
        <v>59</v>
      </c>
      <c r="E3" s="13">
        <v>44518</v>
      </c>
      <c r="F3" s="69" t="s">
        <v>81</v>
      </c>
      <c r="G3" s="13">
        <v>44525</v>
      </c>
      <c r="H3" s="10" t="s">
        <v>123</v>
      </c>
      <c r="I3" s="1">
        <v>52</v>
      </c>
      <c r="J3" s="1">
        <v>42</v>
      </c>
      <c r="K3" s="1">
        <v>66</v>
      </c>
      <c r="L3" s="1">
        <v>20</v>
      </c>
      <c r="M3" s="72">
        <v>36.036000000000001</v>
      </c>
      <c r="N3" s="88">
        <v>36.036000000000001</v>
      </c>
      <c r="O3" s="57">
        <v>7000</v>
      </c>
      <c r="P3" s="58">
        <f>Table2245789101123456789101112[[#This Row],[PEMBULATAN]]*O3</f>
        <v>252252</v>
      </c>
    </row>
    <row r="4" spans="1:16" ht="22.5" customHeight="1" x14ac:dyDescent="0.2">
      <c r="A4" s="116" t="s">
        <v>30</v>
      </c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8"/>
      <c r="M4" s="71">
        <f>SUBTOTAL(109,Table2245789101123456789101112[KG VOLUME])</f>
        <v>36.036000000000001</v>
      </c>
      <c r="N4" s="61">
        <f>SUM(N3:N3)</f>
        <v>36.036000000000001</v>
      </c>
      <c r="O4" s="119">
        <f>SUM(P3:P3)</f>
        <v>252252</v>
      </c>
      <c r="P4" s="120"/>
    </row>
    <row r="5" spans="1:16" ht="18" customHeight="1" x14ac:dyDescent="0.2">
      <c r="A5" s="78"/>
      <c r="B5" s="49" t="s">
        <v>42</v>
      </c>
      <c r="C5" s="48"/>
      <c r="D5" s="50" t="s">
        <v>43</v>
      </c>
      <c r="E5" s="78"/>
      <c r="F5" s="78"/>
      <c r="G5" s="78"/>
      <c r="H5" s="78"/>
      <c r="I5" s="78"/>
      <c r="J5" s="78"/>
      <c r="K5" s="78"/>
      <c r="L5" s="78"/>
      <c r="M5" s="79"/>
      <c r="N5" s="80" t="s">
        <v>51</v>
      </c>
      <c r="O5" s="81"/>
      <c r="P5" s="81">
        <f>O4*10%</f>
        <v>25225.200000000001</v>
      </c>
    </row>
    <row r="6" spans="1:16" ht="18" customHeight="1" thickBot="1" x14ac:dyDescent="0.25">
      <c r="A6" s="78"/>
      <c r="B6" s="49"/>
      <c r="C6" s="48"/>
      <c r="D6" s="50"/>
      <c r="E6" s="78"/>
      <c r="F6" s="78"/>
      <c r="G6" s="78"/>
      <c r="H6" s="78"/>
      <c r="I6" s="78"/>
      <c r="J6" s="78"/>
      <c r="K6" s="78"/>
      <c r="L6" s="78"/>
      <c r="M6" s="79"/>
      <c r="N6" s="82" t="s">
        <v>52</v>
      </c>
      <c r="O6" s="83"/>
      <c r="P6" s="83">
        <f>O4-P5</f>
        <v>227026.8</v>
      </c>
    </row>
    <row r="7" spans="1:16" ht="18" customHeight="1" x14ac:dyDescent="0.2">
      <c r="A7" s="11"/>
      <c r="H7" s="56"/>
      <c r="N7" s="55" t="s">
        <v>31</v>
      </c>
      <c r="P7" s="62">
        <f>P6*1%</f>
        <v>2270.268</v>
      </c>
    </row>
    <row r="8" spans="1:16" ht="18" customHeight="1" thickBot="1" x14ac:dyDescent="0.25">
      <c r="A8" s="11"/>
      <c r="H8" s="56"/>
      <c r="N8" s="55" t="s">
        <v>53</v>
      </c>
      <c r="P8" s="64">
        <f>P6*2%</f>
        <v>4540.5360000000001</v>
      </c>
    </row>
    <row r="9" spans="1:16" ht="18" customHeight="1" x14ac:dyDescent="0.2">
      <c r="A9" s="11"/>
      <c r="H9" s="56"/>
      <c r="N9" s="59" t="s">
        <v>32</v>
      </c>
      <c r="O9" s="60"/>
      <c r="P9" s="63">
        <f>P6+P7-P8</f>
        <v>224756.53200000001</v>
      </c>
    </row>
    <row r="11" spans="1:16" x14ac:dyDescent="0.2">
      <c r="A11" s="11"/>
      <c r="H11" s="56"/>
      <c r="P11" s="64"/>
    </row>
    <row r="12" spans="1:16" x14ac:dyDescent="0.2">
      <c r="A12" s="11"/>
      <c r="H12" s="56"/>
      <c r="O12" s="51"/>
      <c r="P12" s="64"/>
    </row>
    <row r="13" spans="1:16" s="3" customFormat="1" x14ac:dyDescent="0.25">
      <c r="A13" s="11"/>
      <c r="B13" s="2"/>
      <c r="C13" s="2"/>
      <c r="E13" s="12"/>
      <c r="H13" s="56"/>
      <c r="N13" s="15"/>
      <c r="O13" s="15"/>
      <c r="P13" s="15"/>
    </row>
    <row r="14" spans="1:16" s="3" customFormat="1" x14ac:dyDescent="0.25">
      <c r="A14" s="11"/>
      <c r="B14" s="2"/>
      <c r="C14" s="2"/>
      <c r="E14" s="12"/>
      <c r="H14" s="56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56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56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56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56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56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56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56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56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56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56"/>
      <c r="N24" s="15"/>
      <c r="O24" s="15"/>
      <c r="P24" s="15"/>
    </row>
  </sheetData>
  <mergeCells count="2">
    <mergeCell ref="A4:L4"/>
    <mergeCell ref="O4:P4"/>
  </mergeCells>
  <conditionalFormatting sqref="B3">
    <cfRule type="duplicateValues" dxfId="152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3"/>
  <sheetViews>
    <sheetView zoomScale="110" zoomScaleNormal="110" workbookViewId="0">
      <pane xSplit="3" ySplit="2" topLeftCell="D5" activePane="bottomRight" state="frozen"/>
      <selection pane="topRight" activeCell="B1" sqref="B1"/>
      <selection pane="bottomLeft" activeCell="A3" sqref="A3"/>
      <selection pane="bottomRight" activeCell="O14" sqref="O14"/>
    </sheetView>
  </sheetViews>
  <sheetFormatPr defaultRowHeight="15" x14ac:dyDescent="0.2"/>
  <cols>
    <col min="1" max="1" width="8" style="4" customWidth="1"/>
    <col min="2" max="2" width="21.42578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75">
        <v>403893</v>
      </c>
      <c r="B3" s="67" t="s">
        <v>126</v>
      </c>
      <c r="C3" s="9" t="s">
        <v>127</v>
      </c>
      <c r="D3" s="69" t="s">
        <v>122</v>
      </c>
      <c r="E3" s="13">
        <v>44519</v>
      </c>
      <c r="F3" s="69" t="s">
        <v>81</v>
      </c>
      <c r="G3" s="13">
        <v>44525</v>
      </c>
      <c r="H3" s="10" t="s">
        <v>123</v>
      </c>
      <c r="I3" s="1">
        <v>74</v>
      </c>
      <c r="J3" s="1">
        <v>47</v>
      </c>
      <c r="K3" s="1">
        <v>95</v>
      </c>
      <c r="L3" s="1">
        <v>14</v>
      </c>
      <c r="M3" s="72">
        <v>82.602500000000006</v>
      </c>
      <c r="N3" s="88">
        <v>82.602500000000006</v>
      </c>
      <c r="O3" s="57">
        <v>7000</v>
      </c>
      <c r="P3" s="58">
        <f>Table224578910112345678910111213[[#This Row],[PEMBULATAN]]*O3</f>
        <v>578217.5</v>
      </c>
    </row>
    <row r="4" spans="1:16" ht="26.25" customHeight="1" x14ac:dyDescent="0.2">
      <c r="A4" s="14"/>
      <c r="B4" s="68"/>
      <c r="C4" s="9" t="s">
        <v>128</v>
      </c>
      <c r="D4" s="69" t="s">
        <v>122</v>
      </c>
      <c r="E4" s="13">
        <v>44519</v>
      </c>
      <c r="F4" s="69" t="s">
        <v>81</v>
      </c>
      <c r="G4" s="13">
        <v>44525</v>
      </c>
      <c r="H4" s="10" t="s">
        <v>123</v>
      </c>
      <c r="I4" s="1">
        <v>74</v>
      </c>
      <c r="J4" s="1">
        <v>47</v>
      </c>
      <c r="K4" s="1">
        <v>95</v>
      </c>
      <c r="L4" s="1">
        <v>14</v>
      </c>
      <c r="M4" s="72">
        <v>82.602500000000006</v>
      </c>
      <c r="N4" s="88">
        <v>82.602500000000006</v>
      </c>
      <c r="O4" s="57">
        <v>7000</v>
      </c>
      <c r="P4" s="58">
        <f>Table224578910112345678910111213[[#This Row],[PEMBULATAN]]*O4</f>
        <v>578217.5</v>
      </c>
    </row>
    <row r="5" spans="1:16" ht="26.25" customHeight="1" x14ac:dyDescent="0.2">
      <c r="A5" s="14"/>
      <c r="B5" s="14"/>
      <c r="C5" s="9" t="s">
        <v>129</v>
      </c>
      <c r="D5" s="69" t="s">
        <v>122</v>
      </c>
      <c r="E5" s="13">
        <v>44519</v>
      </c>
      <c r="F5" s="69" t="s">
        <v>81</v>
      </c>
      <c r="G5" s="13">
        <v>44525</v>
      </c>
      <c r="H5" s="10" t="s">
        <v>123</v>
      </c>
      <c r="I5" s="1">
        <v>45</v>
      </c>
      <c r="J5" s="1">
        <v>45</v>
      </c>
      <c r="K5" s="1">
        <v>82</v>
      </c>
      <c r="L5" s="1">
        <v>14</v>
      </c>
      <c r="M5" s="72">
        <v>41.512500000000003</v>
      </c>
      <c r="N5" s="88">
        <v>41.512500000000003</v>
      </c>
      <c r="O5" s="57">
        <v>7000</v>
      </c>
      <c r="P5" s="58">
        <f>Table224578910112345678910111213[[#This Row],[PEMBULATAN]]*O5</f>
        <v>290587.5</v>
      </c>
    </row>
    <row r="6" spans="1:16" ht="26.25" customHeight="1" x14ac:dyDescent="0.2">
      <c r="A6" s="14"/>
      <c r="B6" s="14"/>
      <c r="C6" s="66" t="s">
        <v>130</v>
      </c>
      <c r="D6" s="69" t="s">
        <v>59</v>
      </c>
      <c r="E6" s="13">
        <v>44519</v>
      </c>
      <c r="F6" s="69" t="s">
        <v>81</v>
      </c>
      <c r="G6" s="13">
        <v>44525</v>
      </c>
      <c r="H6" s="70" t="s">
        <v>123</v>
      </c>
      <c r="I6" s="16">
        <v>45</v>
      </c>
      <c r="J6" s="16">
        <v>45</v>
      </c>
      <c r="K6" s="16">
        <v>82</v>
      </c>
      <c r="L6" s="16">
        <v>14</v>
      </c>
      <c r="M6" s="73">
        <v>41.512500000000003</v>
      </c>
      <c r="N6" s="88">
        <v>41.512500000000003</v>
      </c>
      <c r="O6" s="57">
        <v>7000</v>
      </c>
      <c r="P6" s="58">
        <f>Table224578910112345678910111213[[#This Row],[PEMBULATAN]]*O6</f>
        <v>290587.5</v>
      </c>
    </row>
    <row r="7" spans="1:16" ht="26.25" customHeight="1" x14ac:dyDescent="0.2">
      <c r="A7" s="14"/>
      <c r="B7" s="14"/>
      <c r="C7" s="66" t="s">
        <v>131</v>
      </c>
      <c r="D7" s="69" t="s">
        <v>59</v>
      </c>
      <c r="E7" s="13">
        <v>44519</v>
      </c>
      <c r="F7" s="69" t="s">
        <v>81</v>
      </c>
      <c r="G7" s="13">
        <v>44525</v>
      </c>
      <c r="H7" s="70" t="s">
        <v>123</v>
      </c>
      <c r="I7" s="16">
        <v>74</v>
      </c>
      <c r="J7" s="16">
        <v>47</v>
      </c>
      <c r="K7" s="16">
        <v>95</v>
      </c>
      <c r="L7" s="16">
        <v>14</v>
      </c>
      <c r="M7" s="73">
        <v>82.602500000000006</v>
      </c>
      <c r="N7" s="88">
        <v>82.602500000000006</v>
      </c>
      <c r="O7" s="57">
        <v>7000</v>
      </c>
      <c r="P7" s="58">
        <f>Table224578910112345678910111213[[#This Row],[PEMBULATAN]]*O7</f>
        <v>578217.5</v>
      </c>
    </row>
    <row r="8" spans="1:16" ht="26.25" customHeight="1" x14ac:dyDescent="0.2">
      <c r="A8" s="14"/>
      <c r="B8" s="14"/>
      <c r="C8" s="66" t="s">
        <v>132</v>
      </c>
      <c r="D8" s="69" t="s">
        <v>59</v>
      </c>
      <c r="E8" s="13">
        <v>44519</v>
      </c>
      <c r="F8" s="69" t="s">
        <v>81</v>
      </c>
      <c r="G8" s="13">
        <v>44525</v>
      </c>
      <c r="H8" s="70" t="s">
        <v>123</v>
      </c>
      <c r="I8" s="16">
        <v>74</v>
      </c>
      <c r="J8" s="16">
        <v>47</v>
      </c>
      <c r="K8" s="16">
        <v>95</v>
      </c>
      <c r="L8" s="16">
        <v>14</v>
      </c>
      <c r="M8" s="73">
        <v>82.602500000000006</v>
      </c>
      <c r="N8" s="88">
        <v>82.602500000000006</v>
      </c>
      <c r="O8" s="57">
        <v>7000</v>
      </c>
      <c r="P8" s="58">
        <f>Table224578910112345678910111213[[#This Row],[PEMBULATAN]]*O8</f>
        <v>578217.5</v>
      </c>
    </row>
    <row r="9" spans="1:16" ht="26.25" customHeight="1" x14ac:dyDescent="0.2">
      <c r="A9" s="14"/>
      <c r="B9" s="14"/>
      <c r="C9" s="66" t="s">
        <v>133</v>
      </c>
      <c r="D9" s="69" t="s">
        <v>59</v>
      </c>
      <c r="E9" s="13">
        <v>44519</v>
      </c>
      <c r="F9" s="69" t="s">
        <v>81</v>
      </c>
      <c r="G9" s="13">
        <v>44525</v>
      </c>
      <c r="H9" s="70" t="s">
        <v>123</v>
      </c>
      <c r="I9" s="16">
        <v>74</v>
      </c>
      <c r="J9" s="16">
        <v>47</v>
      </c>
      <c r="K9" s="16">
        <v>95</v>
      </c>
      <c r="L9" s="16">
        <v>14</v>
      </c>
      <c r="M9" s="73">
        <v>82.602500000000006</v>
      </c>
      <c r="N9" s="88">
        <v>82.602500000000006</v>
      </c>
      <c r="O9" s="57">
        <v>7000</v>
      </c>
      <c r="P9" s="58">
        <f>Table224578910112345678910111213[[#This Row],[PEMBULATAN]]*O9</f>
        <v>578217.5</v>
      </c>
    </row>
    <row r="10" spans="1:16" ht="26.25" customHeight="1" x14ac:dyDescent="0.2">
      <c r="A10" s="14"/>
      <c r="B10" s="14"/>
      <c r="C10" s="66" t="s">
        <v>134</v>
      </c>
      <c r="D10" s="69" t="s">
        <v>59</v>
      </c>
      <c r="E10" s="13">
        <v>44519</v>
      </c>
      <c r="F10" s="69" t="s">
        <v>81</v>
      </c>
      <c r="G10" s="13">
        <v>44525</v>
      </c>
      <c r="H10" s="70" t="s">
        <v>123</v>
      </c>
      <c r="I10" s="16">
        <v>74</v>
      </c>
      <c r="J10" s="16">
        <v>47</v>
      </c>
      <c r="K10" s="16">
        <v>95</v>
      </c>
      <c r="L10" s="16">
        <v>14</v>
      </c>
      <c r="M10" s="73">
        <v>82.602500000000006</v>
      </c>
      <c r="N10" s="88">
        <v>82.602500000000006</v>
      </c>
      <c r="O10" s="57">
        <v>7000</v>
      </c>
      <c r="P10" s="58">
        <f>Table224578910112345678910111213[[#This Row],[PEMBULATAN]]*O10</f>
        <v>578217.5</v>
      </c>
    </row>
    <row r="11" spans="1:16" ht="26.25" customHeight="1" x14ac:dyDescent="0.2">
      <c r="A11" s="14"/>
      <c r="B11" s="14"/>
      <c r="C11" s="66" t="s">
        <v>135</v>
      </c>
      <c r="D11" s="69" t="s">
        <v>59</v>
      </c>
      <c r="E11" s="13">
        <v>44519</v>
      </c>
      <c r="F11" s="69" t="s">
        <v>81</v>
      </c>
      <c r="G11" s="13">
        <v>44525</v>
      </c>
      <c r="H11" s="70" t="s">
        <v>123</v>
      </c>
      <c r="I11" s="16">
        <v>45</v>
      </c>
      <c r="J11" s="16">
        <v>45</v>
      </c>
      <c r="K11" s="16">
        <v>82</v>
      </c>
      <c r="L11" s="16">
        <v>14</v>
      </c>
      <c r="M11" s="73">
        <v>41.512500000000003</v>
      </c>
      <c r="N11" s="88">
        <v>41.512500000000003</v>
      </c>
      <c r="O11" s="57">
        <v>7000</v>
      </c>
      <c r="P11" s="58">
        <f>Table224578910112345678910111213[[#This Row],[PEMBULATAN]]*O11</f>
        <v>290587.5</v>
      </c>
    </row>
    <row r="12" spans="1:16" ht="26.25" customHeight="1" x14ac:dyDescent="0.2">
      <c r="A12" s="14"/>
      <c r="B12" s="14"/>
      <c r="C12" s="66" t="s">
        <v>136</v>
      </c>
      <c r="D12" s="69" t="s">
        <v>59</v>
      </c>
      <c r="E12" s="13">
        <v>44519</v>
      </c>
      <c r="F12" s="69" t="s">
        <v>81</v>
      </c>
      <c r="G12" s="13">
        <v>44525</v>
      </c>
      <c r="H12" s="70" t="s">
        <v>123</v>
      </c>
      <c r="I12" s="16">
        <v>45</v>
      </c>
      <c r="J12" s="16">
        <v>45</v>
      </c>
      <c r="K12" s="16">
        <v>82</v>
      </c>
      <c r="L12" s="16">
        <v>14</v>
      </c>
      <c r="M12" s="73">
        <v>41.512500000000003</v>
      </c>
      <c r="N12" s="88">
        <v>41.512500000000003</v>
      </c>
      <c r="O12" s="57">
        <v>7000</v>
      </c>
      <c r="P12" s="58">
        <f>Table224578910112345678910111213[[#This Row],[PEMBULATAN]]*O12</f>
        <v>290587.5</v>
      </c>
    </row>
    <row r="13" spans="1:16" ht="22.5" customHeight="1" x14ac:dyDescent="0.2">
      <c r="A13" s="116" t="s">
        <v>30</v>
      </c>
      <c r="B13" s="117"/>
      <c r="C13" s="117"/>
      <c r="D13" s="117"/>
      <c r="E13" s="117"/>
      <c r="F13" s="117"/>
      <c r="G13" s="117"/>
      <c r="H13" s="117"/>
      <c r="I13" s="117"/>
      <c r="J13" s="117"/>
      <c r="K13" s="117"/>
      <c r="L13" s="118"/>
      <c r="M13" s="71">
        <f>SUBTOTAL(109,Table224578910112345678910111213[KG VOLUME])</f>
        <v>661.66500000000019</v>
      </c>
      <c r="N13" s="61">
        <f>SUM(N3:N12)</f>
        <v>661.66500000000019</v>
      </c>
      <c r="O13" s="119">
        <f>SUM(P3:P12)</f>
        <v>4631655</v>
      </c>
      <c r="P13" s="120"/>
    </row>
    <row r="14" spans="1:16" ht="18" customHeight="1" x14ac:dyDescent="0.2">
      <c r="A14" s="78"/>
      <c r="B14" s="49" t="s">
        <v>42</v>
      </c>
      <c r="C14" s="48"/>
      <c r="D14" s="50" t="s">
        <v>43</v>
      </c>
      <c r="E14" s="78"/>
      <c r="F14" s="78"/>
      <c r="G14" s="78"/>
      <c r="H14" s="78"/>
      <c r="I14" s="78"/>
      <c r="J14" s="78"/>
      <c r="K14" s="78"/>
      <c r="L14" s="78"/>
      <c r="M14" s="79"/>
      <c r="N14" s="80" t="s">
        <v>51</v>
      </c>
      <c r="O14" s="81"/>
      <c r="P14" s="81">
        <f>O13*10%</f>
        <v>463165.5</v>
      </c>
    </row>
    <row r="15" spans="1:16" ht="18" customHeight="1" thickBot="1" x14ac:dyDescent="0.25">
      <c r="A15" s="78"/>
      <c r="B15" s="49"/>
      <c r="C15" s="48"/>
      <c r="D15" s="50"/>
      <c r="E15" s="78"/>
      <c r="F15" s="78"/>
      <c r="G15" s="78"/>
      <c r="H15" s="78"/>
      <c r="I15" s="78"/>
      <c r="J15" s="78"/>
      <c r="K15" s="78"/>
      <c r="L15" s="78"/>
      <c r="M15" s="79"/>
      <c r="N15" s="82" t="s">
        <v>52</v>
      </c>
      <c r="O15" s="83"/>
      <c r="P15" s="83">
        <f>O13-P14</f>
        <v>4168489.5</v>
      </c>
    </row>
    <row r="16" spans="1:16" ht="18" customHeight="1" x14ac:dyDescent="0.2">
      <c r="A16" s="11"/>
      <c r="H16" s="56"/>
      <c r="N16" s="55" t="s">
        <v>31</v>
      </c>
      <c r="P16" s="62">
        <f>P15*1%</f>
        <v>41684.895000000004</v>
      </c>
    </row>
    <row r="17" spans="1:16" ht="18" customHeight="1" thickBot="1" x14ac:dyDescent="0.25">
      <c r="A17" s="11"/>
      <c r="H17" s="56"/>
      <c r="N17" s="55" t="s">
        <v>53</v>
      </c>
      <c r="P17" s="64">
        <f>P15*2%</f>
        <v>83369.790000000008</v>
      </c>
    </row>
    <row r="18" spans="1:16" ht="18" customHeight="1" x14ac:dyDescent="0.2">
      <c r="A18" s="11"/>
      <c r="H18" s="56"/>
      <c r="N18" s="59" t="s">
        <v>32</v>
      </c>
      <c r="O18" s="60"/>
      <c r="P18" s="63">
        <f>P15+P16-P17</f>
        <v>4126804.6049999995</v>
      </c>
    </row>
    <row r="20" spans="1:16" x14ac:dyDescent="0.2">
      <c r="A20" s="11"/>
      <c r="H20" s="56"/>
      <c r="P20" s="64"/>
    </row>
    <row r="21" spans="1:16" x14ac:dyDescent="0.2">
      <c r="A21" s="11"/>
      <c r="H21" s="56"/>
      <c r="O21" s="51"/>
      <c r="P21" s="64"/>
    </row>
    <row r="22" spans="1:16" s="3" customFormat="1" x14ac:dyDescent="0.25">
      <c r="A22" s="11"/>
      <c r="B22" s="2"/>
      <c r="C22" s="2"/>
      <c r="E22" s="12"/>
      <c r="H22" s="56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56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56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56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56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56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56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56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56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56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56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56"/>
      <c r="N33" s="15"/>
      <c r="O33" s="15"/>
      <c r="P33" s="15"/>
    </row>
  </sheetData>
  <mergeCells count="2">
    <mergeCell ref="A13:L13"/>
    <mergeCell ref="O13:P13"/>
  </mergeCells>
  <conditionalFormatting sqref="B3">
    <cfRule type="duplicateValues" dxfId="136" priority="2"/>
  </conditionalFormatting>
  <conditionalFormatting sqref="B4">
    <cfRule type="duplicateValues" dxfId="135" priority="1"/>
  </conditionalFormatting>
  <conditionalFormatting sqref="B5:B12">
    <cfRule type="duplicateValues" dxfId="134" priority="1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5" sqref="O5"/>
    </sheetView>
  </sheetViews>
  <sheetFormatPr defaultRowHeight="15" x14ac:dyDescent="0.2"/>
  <cols>
    <col min="1" max="1" width="8" style="4" customWidth="1"/>
    <col min="2" max="2" width="19.5703125" style="2" customWidth="1"/>
    <col min="3" max="3" width="15.5703125" style="2" customWidth="1"/>
    <col min="4" max="4" width="12.8554687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75">
        <v>403896</v>
      </c>
      <c r="B3" s="67" t="s">
        <v>137</v>
      </c>
      <c r="C3" s="9" t="s">
        <v>138</v>
      </c>
      <c r="D3" s="69" t="s">
        <v>59</v>
      </c>
      <c r="E3" s="13">
        <v>44520</v>
      </c>
      <c r="F3" s="69" t="s">
        <v>81</v>
      </c>
      <c r="G3" s="13">
        <v>44525</v>
      </c>
      <c r="H3" s="10" t="s">
        <v>123</v>
      </c>
      <c r="I3" s="1">
        <v>54</v>
      </c>
      <c r="J3" s="1">
        <v>46</v>
      </c>
      <c r="K3" s="1">
        <v>83</v>
      </c>
      <c r="L3" s="1">
        <v>20</v>
      </c>
      <c r="M3" s="72">
        <v>51.542999999999999</v>
      </c>
      <c r="N3" s="88">
        <v>51.542999999999999</v>
      </c>
      <c r="O3" s="57">
        <v>7000</v>
      </c>
      <c r="P3" s="58">
        <f>Table22457891011234567891011121314[[#This Row],[PEMBULATAN]]*O3</f>
        <v>360801</v>
      </c>
    </row>
    <row r="4" spans="1:16" ht="22.5" customHeight="1" x14ac:dyDescent="0.2">
      <c r="A4" s="116" t="s">
        <v>30</v>
      </c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8"/>
      <c r="M4" s="71">
        <f>SUBTOTAL(109,Table22457891011234567891011121314[KG VOLUME])</f>
        <v>51.542999999999999</v>
      </c>
      <c r="N4" s="61">
        <f>SUM(N3:N3)</f>
        <v>51.542999999999999</v>
      </c>
      <c r="O4" s="119">
        <f>SUM(P3:P3)</f>
        <v>360801</v>
      </c>
      <c r="P4" s="120"/>
    </row>
    <row r="5" spans="1:16" ht="18" customHeight="1" x14ac:dyDescent="0.2">
      <c r="A5" s="78"/>
      <c r="B5" s="49" t="s">
        <v>42</v>
      </c>
      <c r="C5" s="48"/>
      <c r="D5" s="50" t="s">
        <v>43</v>
      </c>
      <c r="E5" s="78"/>
      <c r="F5" s="78"/>
      <c r="G5" s="78"/>
      <c r="H5" s="78"/>
      <c r="I5" s="78"/>
      <c r="J5" s="78"/>
      <c r="K5" s="78"/>
      <c r="L5" s="78"/>
      <c r="M5" s="79"/>
      <c r="N5" s="80" t="s">
        <v>51</v>
      </c>
      <c r="O5" s="81"/>
      <c r="P5" s="81">
        <f>O4*10%</f>
        <v>36080.1</v>
      </c>
    </row>
    <row r="6" spans="1:16" ht="18" customHeight="1" thickBot="1" x14ac:dyDescent="0.25">
      <c r="A6" s="78"/>
      <c r="B6" s="49"/>
      <c r="C6" s="48"/>
      <c r="D6" s="50"/>
      <c r="E6" s="78"/>
      <c r="F6" s="78"/>
      <c r="G6" s="78"/>
      <c r="H6" s="78"/>
      <c r="I6" s="78"/>
      <c r="J6" s="78"/>
      <c r="K6" s="78"/>
      <c r="L6" s="78"/>
      <c r="M6" s="79"/>
      <c r="N6" s="82" t="s">
        <v>52</v>
      </c>
      <c r="O6" s="83"/>
      <c r="P6" s="83">
        <f>O4-P5</f>
        <v>324720.90000000002</v>
      </c>
    </row>
    <row r="7" spans="1:16" ht="18" customHeight="1" x14ac:dyDescent="0.2">
      <c r="A7" s="11"/>
      <c r="H7" s="56"/>
      <c r="N7" s="55" t="s">
        <v>31</v>
      </c>
      <c r="P7" s="62">
        <f>P6*1%</f>
        <v>3247.2090000000003</v>
      </c>
    </row>
    <row r="8" spans="1:16" ht="18" customHeight="1" thickBot="1" x14ac:dyDescent="0.25">
      <c r="A8" s="11"/>
      <c r="H8" s="56"/>
      <c r="N8" s="55" t="s">
        <v>53</v>
      </c>
      <c r="P8" s="64">
        <f>P6*2%</f>
        <v>6494.4180000000006</v>
      </c>
    </row>
    <row r="9" spans="1:16" ht="18" customHeight="1" x14ac:dyDescent="0.2">
      <c r="A9" s="11"/>
      <c r="H9" s="56"/>
      <c r="N9" s="59" t="s">
        <v>32</v>
      </c>
      <c r="O9" s="60"/>
      <c r="P9" s="63">
        <f>P6+P7-P8</f>
        <v>321473.69099999999</v>
      </c>
    </row>
    <row r="11" spans="1:16" x14ac:dyDescent="0.2">
      <c r="A11" s="11"/>
      <c r="H11" s="56"/>
      <c r="P11" s="64"/>
    </row>
    <row r="12" spans="1:16" x14ac:dyDescent="0.2">
      <c r="A12" s="11"/>
      <c r="H12" s="56"/>
      <c r="O12" s="51"/>
      <c r="P12" s="64"/>
    </row>
    <row r="13" spans="1:16" s="3" customFormat="1" x14ac:dyDescent="0.25">
      <c r="A13" s="11"/>
      <c r="B13" s="2"/>
      <c r="C13" s="2"/>
      <c r="E13" s="12"/>
      <c r="H13" s="56"/>
      <c r="N13" s="15"/>
      <c r="O13" s="15"/>
      <c r="P13" s="15"/>
    </row>
    <row r="14" spans="1:16" s="3" customFormat="1" x14ac:dyDescent="0.25">
      <c r="A14" s="11"/>
      <c r="B14" s="2"/>
      <c r="C14" s="2"/>
      <c r="E14" s="12"/>
      <c r="H14" s="56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56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56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56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56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56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56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56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56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56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56"/>
      <c r="N24" s="15"/>
      <c r="O24" s="15"/>
      <c r="P24" s="15"/>
    </row>
  </sheetData>
  <mergeCells count="2">
    <mergeCell ref="A4:L4"/>
    <mergeCell ref="O4:P4"/>
  </mergeCells>
  <conditionalFormatting sqref="B3">
    <cfRule type="duplicateValues" dxfId="118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6" sqref="O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2.285156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75">
        <v>403899</v>
      </c>
      <c r="B3" s="67" t="s">
        <v>139</v>
      </c>
      <c r="C3" s="9" t="s">
        <v>140</v>
      </c>
      <c r="D3" s="69" t="s">
        <v>59</v>
      </c>
      <c r="E3" s="13">
        <v>44521</v>
      </c>
      <c r="F3" s="69" t="s">
        <v>142</v>
      </c>
      <c r="G3" s="13">
        <v>44528</v>
      </c>
      <c r="H3" s="10" t="s">
        <v>143</v>
      </c>
      <c r="I3" s="1">
        <v>25</v>
      </c>
      <c r="J3" s="1">
        <v>22</v>
      </c>
      <c r="K3" s="1">
        <v>10</v>
      </c>
      <c r="L3" s="1">
        <v>5</v>
      </c>
      <c r="M3" s="72">
        <v>1.375</v>
      </c>
      <c r="N3" s="8">
        <v>6</v>
      </c>
      <c r="O3" s="57">
        <v>7000</v>
      </c>
      <c r="P3" s="58">
        <f>Table2245789101123456789101112131415[[#This Row],[PEMBULATAN]]*O3</f>
        <v>42000</v>
      </c>
    </row>
    <row r="4" spans="1:16" ht="26.25" customHeight="1" x14ac:dyDescent="0.2">
      <c r="A4" s="14"/>
      <c r="B4" s="68"/>
      <c r="C4" s="9" t="s">
        <v>141</v>
      </c>
      <c r="D4" s="69" t="s">
        <v>59</v>
      </c>
      <c r="E4" s="13">
        <v>44521</v>
      </c>
      <c r="F4" s="69" t="s">
        <v>142</v>
      </c>
      <c r="G4" s="13">
        <v>44528</v>
      </c>
      <c r="H4" s="10" t="s">
        <v>143</v>
      </c>
      <c r="I4" s="1">
        <v>30</v>
      </c>
      <c r="J4" s="1">
        <v>30</v>
      </c>
      <c r="K4" s="1">
        <v>22</v>
      </c>
      <c r="L4" s="1">
        <v>5</v>
      </c>
      <c r="M4" s="72">
        <v>4.95</v>
      </c>
      <c r="N4" s="8">
        <v>5</v>
      </c>
      <c r="O4" s="57">
        <v>7000</v>
      </c>
      <c r="P4" s="58">
        <f>Table2245789101123456789101112131415[[#This Row],[PEMBULATAN]]*O4</f>
        <v>35000</v>
      </c>
    </row>
    <row r="5" spans="1:16" ht="22.5" customHeight="1" x14ac:dyDescent="0.2">
      <c r="A5" s="116" t="s">
        <v>30</v>
      </c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8"/>
      <c r="M5" s="71">
        <f>SUBTOTAL(109,Table2245789101123456789101112131415[KG VOLUME])</f>
        <v>6.3250000000000002</v>
      </c>
      <c r="N5" s="61">
        <f>SUM(N3:N4)</f>
        <v>11</v>
      </c>
      <c r="O5" s="119">
        <f>SUM(P3:P4)</f>
        <v>77000</v>
      </c>
      <c r="P5" s="120"/>
    </row>
    <row r="6" spans="1:16" ht="18" customHeight="1" x14ac:dyDescent="0.2">
      <c r="A6" s="78"/>
      <c r="B6" s="49" t="s">
        <v>42</v>
      </c>
      <c r="C6" s="48"/>
      <c r="D6" s="50" t="s">
        <v>43</v>
      </c>
      <c r="E6" s="78"/>
      <c r="F6" s="78"/>
      <c r="G6" s="78"/>
      <c r="H6" s="78"/>
      <c r="I6" s="78"/>
      <c r="J6" s="78"/>
      <c r="K6" s="78"/>
      <c r="L6" s="78"/>
      <c r="M6" s="79"/>
      <c r="N6" s="80" t="s">
        <v>51</v>
      </c>
      <c r="O6" s="81"/>
      <c r="P6" s="81">
        <f>O5*10%</f>
        <v>7700</v>
      </c>
    </row>
    <row r="7" spans="1:16" ht="18" customHeight="1" thickBot="1" x14ac:dyDescent="0.25">
      <c r="A7" s="78"/>
      <c r="B7" s="49"/>
      <c r="C7" s="48"/>
      <c r="D7" s="50"/>
      <c r="E7" s="78"/>
      <c r="F7" s="78"/>
      <c r="G7" s="78"/>
      <c r="H7" s="78"/>
      <c r="I7" s="78"/>
      <c r="J7" s="78"/>
      <c r="K7" s="78"/>
      <c r="L7" s="78"/>
      <c r="M7" s="79"/>
      <c r="N7" s="82" t="s">
        <v>52</v>
      </c>
      <c r="O7" s="83"/>
      <c r="P7" s="83">
        <f>O5-P6</f>
        <v>69300</v>
      </c>
    </row>
    <row r="8" spans="1:16" ht="18" customHeight="1" x14ac:dyDescent="0.2">
      <c r="A8" s="11"/>
      <c r="H8" s="56"/>
      <c r="N8" s="55" t="s">
        <v>31</v>
      </c>
      <c r="P8" s="62">
        <f>P7*1%</f>
        <v>693</v>
      </c>
    </row>
    <row r="9" spans="1:16" ht="18" customHeight="1" thickBot="1" x14ac:dyDescent="0.25">
      <c r="A9" s="11"/>
      <c r="H9" s="56"/>
      <c r="N9" s="55" t="s">
        <v>53</v>
      </c>
      <c r="P9" s="64">
        <f>P7*2%</f>
        <v>1386</v>
      </c>
    </row>
    <row r="10" spans="1:16" ht="18" customHeight="1" x14ac:dyDescent="0.2">
      <c r="A10" s="11"/>
      <c r="H10" s="56"/>
      <c r="N10" s="59" t="s">
        <v>32</v>
      </c>
      <c r="O10" s="60"/>
      <c r="P10" s="63">
        <f>P7+P8-P9</f>
        <v>68607</v>
      </c>
    </row>
    <row r="12" spans="1:16" x14ac:dyDescent="0.2">
      <c r="A12" s="11"/>
      <c r="H12" s="56"/>
      <c r="P12" s="64"/>
    </row>
    <row r="13" spans="1:16" x14ac:dyDescent="0.2">
      <c r="A13" s="11"/>
      <c r="H13" s="56"/>
      <c r="O13" s="51"/>
      <c r="P13" s="64"/>
    </row>
    <row r="14" spans="1:16" s="3" customFormat="1" x14ac:dyDescent="0.25">
      <c r="A14" s="11"/>
      <c r="B14" s="2"/>
      <c r="C14" s="2"/>
      <c r="E14" s="12"/>
      <c r="H14" s="56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56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56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56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56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56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56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56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56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56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56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56"/>
      <c r="N25" s="15"/>
      <c r="O25" s="15"/>
      <c r="P25" s="15"/>
    </row>
  </sheetData>
  <mergeCells count="2">
    <mergeCell ref="A5:L5"/>
    <mergeCell ref="O5:P5"/>
  </mergeCells>
  <conditionalFormatting sqref="B3">
    <cfRule type="duplicateValues" dxfId="102" priority="2"/>
  </conditionalFormatting>
  <conditionalFormatting sqref="B4">
    <cfRule type="duplicateValues" dxfId="101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2"/>
  <sheetViews>
    <sheetView zoomScale="110" zoomScaleNormal="110" workbookViewId="0">
      <pane xSplit="3" ySplit="2" topLeftCell="D4" activePane="bottomRight" state="frozen"/>
      <selection pane="topRight" activeCell="B1" sqref="B1"/>
      <selection pane="bottomLeft" activeCell="A3" sqref="A3"/>
      <selection pane="bottomRight" activeCell="O13" sqref="O1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.710937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75">
        <v>403706</v>
      </c>
      <c r="B3" s="67" t="s">
        <v>144</v>
      </c>
      <c r="C3" s="9" t="s">
        <v>145</v>
      </c>
      <c r="D3" s="69" t="s">
        <v>59</v>
      </c>
      <c r="E3" s="13">
        <v>44524</v>
      </c>
      <c r="F3" s="69" t="s">
        <v>142</v>
      </c>
      <c r="G3" s="13">
        <v>44529</v>
      </c>
      <c r="H3" s="10" t="s">
        <v>143</v>
      </c>
      <c r="I3" s="1">
        <v>32</v>
      </c>
      <c r="J3" s="1">
        <v>22</v>
      </c>
      <c r="K3" s="1">
        <v>18</v>
      </c>
      <c r="L3" s="1">
        <v>8</v>
      </c>
      <c r="M3" s="72">
        <v>3.1680000000000001</v>
      </c>
      <c r="N3" s="8">
        <v>8</v>
      </c>
      <c r="O3" s="57">
        <v>7000</v>
      </c>
      <c r="P3" s="58">
        <f>Table224578910112345678910111213141516[[#This Row],[PEMBULATAN]]*O3</f>
        <v>56000</v>
      </c>
    </row>
    <row r="4" spans="1:16" ht="26.25" customHeight="1" x14ac:dyDescent="0.2">
      <c r="A4" s="14"/>
      <c r="B4" s="68"/>
      <c r="C4" s="9" t="s">
        <v>146</v>
      </c>
      <c r="D4" s="69" t="s">
        <v>59</v>
      </c>
      <c r="E4" s="13">
        <v>44524</v>
      </c>
      <c r="F4" s="69" t="s">
        <v>142</v>
      </c>
      <c r="G4" s="13">
        <v>44529</v>
      </c>
      <c r="H4" s="10" t="s">
        <v>143</v>
      </c>
      <c r="I4" s="1">
        <v>32</v>
      </c>
      <c r="J4" s="1">
        <v>22</v>
      </c>
      <c r="K4" s="1">
        <v>18</v>
      </c>
      <c r="L4" s="1">
        <v>8</v>
      </c>
      <c r="M4" s="72">
        <v>3.1680000000000001</v>
      </c>
      <c r="N4" s="8">
        <v>8</v>
      </c>
      <c r="O4" s="57">
        <v>7000</v>
      </c>
      <c r="P4" s="58">
        <f>Table224578910112345678910111213141516[[#This Row],[PEMBULATAN]]*O4</f>
        <v>56000</v>
      </c>
    </row>
    <row r="5" spans="1:16" ht="26.25" customHeight="1" x14ac:dyDescent="0.2">
      <c r="A5" s="14"/>
      <c r="B5" s="14"/>
      <c r="C5" s="9" t="s">
        <v>147</v>
      </c>
      <c r="D5" s="69" t="s">
        <v>59</v>
      </c>
      <c r="E5" s="13">
        <v>44524</v>
      </c>
      <c r="F5" s="69" t="s">
        <v>142</v>
      </c>
      <c r="G5" s="13">
        <v>44529</v>
      </c>
      <c r="H5" s="10" t="s">
        <v>143</v>
      </c>
      <c r="I5" s="1">
        <v>32</v>
      </c>
      <c r="J5" s="1">
        <v>22</v>
      </c>
      <c r="K5" s="1">
        <v>18</v>
      </c>
      <c r="L5" s="1">
        <v>8</v>
      </c>
      <c r="M5" s="72">
        <v>3.1680000000000001</v>
      </c>
      <c r="N5" s="8">
        <v>8</v>
      </c>
      <c r="O5" s="57">
        <v>7000</v>
      </c>
      <c r="P5" s="58">
        <f>Table224578910112345678910111213141516[[#This Row],[PEMBULATAN]]*O5</f>
        <v>56000</v>
      </c>
    </row>
    <row r="6" spans="1:16" ht="26.25" customHeight="1" x14ac:dyDescent="0.2">
      <c r="A6" s="14"/>
      <c r="B6" s="14"/>
      <c r="C6" s="66" t="s">
        <v>148</v>
      </c>
      <c r="D6" s="69" t="s">
        <v>59</v>
      </c>
      <c r="E6" s="13">
        <v>44524</v>
      </c>
      <c r="F6" s="69" t="s">
        <v>142</v>
      </c>
      <c r="G6" s="13">
        <v>44529</v>
      </c>
      <c r="H6" s="10" t="s">
        <v>143</v>
      </c>
      <c r="I6" s="16">
        <v>42</v>
      </c>
      <c r="J6" s="16">
        <v>34</v>
      </c>
      <c r="K6" s="16">
        <v>17</v>
      </c>
      <c r="L6" s="16">
        <v>10</v>
      </c>
      <c r="M6" s="73">
        <v>6.069</v>
      </c>
      <c r="N6" s="65">
        <v>10</v>
      </c>
      <c r="O6" s="57">
        <v>7000</v>
      </c>
      <c r="P6" s="58">
        <f>Table224578910112345678910111213141516[[#This Row],[PEMBULATAN]]*O6</f>
        <v>70000</v>
      </c>
    </row>
    <row r="7" spans="1:16" ht="26.25" customHeight="1" x14ac:dyDescent="0.2">
      <c r="A7" s="14"/>
      <c r="B7" s="14"/>
      <c r="C7" s="66" t="s">
        <v>149</v>
      </c>
      <c r="D7" s="69" t="s">
        <v>59</v>
      </c>
      <c r="E7" s="13">
        <v>44524</v>
      </c>
      <c r="F7" s="69" t="s">
        <v>142</v>
      </c>
      <c r="G7" s="13">
        <v>44529</v>
      </c>
      <c r="H7" s="10" t="s">
        <v>143</v>
      </c>
      <c r="I7" s="16">
        <v>42</v>
      </c>
      <c r="J7" s="16">
        <v>34</v>
      </c>
      <c r="K7" s="16">
        <v>17</v>
      </c>
      <c r="L7" s="16">
        <v>10</v>
      </c>
      <c r="M7" s="73">
        <v>6.069</v>
      </c>
      <c r="N7" s="65">
        <v>10</v>
      </c>
      <c r="O7" s="57">
        <v>7000</v>
      </c>
      <c r="P7" s="58">
        <f>Table224578910112345678910111213141516[[#This Row],[PEMBULATAN]]*O7</f>
        <v>70000</v>
      </c>
    </row>
    <row r="8" spans="1:16" ht="26.25" customHeight="1" x14ac:dyDescent="0.2">
      <c r="A8" s="14"/>
      <c r="B8" s="14"/>
      <c r="C8" s="66" t="s">
        <v>150</v>
      </c>
      <c r="D8" s="69" t="s">
        <v>59</v>
      </c>
      <c r="E8" s="13">
        <v>44524</v>
      </c>
      <c r="F8" s="69" t="s">
        <v>142</v>
      </c>
      <c r="G8" s="13">
        <v>44529</v>
      </c>
      <c r="H8" s="10" t="s">
        <v>143</v>
      </c>
      <c r="I8" s="16">
        <v>44</v>
      </c>
      <c r="J8" s="16">
        <v>34</v>
      </c>
      <c r="K8" s="16">
        <v>30</v>
      </c>
      <c r="L8" s="16">
        <v>9</v>
      </c>
      <c r="M8" s="73">
        <v>11.22</v>
      </c>
      <c r="N8" s="88">
        <v>11.22</v>
      </c>
      <c r="O8" s="57">
        <v>7000</v>
      </c>
      <c r="P8" s="58">
        <f>Table224578910112345678910111213141516[[#This Row],[PEMBULATAN]]*O8</f>
        <v>78540</v>
      </c>
    </row>
    <row r="9" spans="1:16" ht="26.25" customHeight="1" x14ac:dyDescent="0.2">
      <c r="A9" s="14"/>
      <c r="B9" s="14"/>
      <c r="C9" s="66" t="s">
        <v>151</v>
      </c>
      <c r="D9" s="69" t="s">
        <v>59</v>
      </c>
      <c r="E9" s="13">
        <v>44524</v>
      </c>
      <c r="F9" s="69" t="s">
        <v>142</v>
      </c>
      <c r="G9" s="13">
        <v>44529</v>
      </c>
      <c r="H9" s="10" t="s">
        <v>143</v>
      </c>
      <c r="I9" s="16">
        <v>44</v>
      </c>
      <c r="J9" s="16">
        <v>34</v>
      </c>
      <c r="K9" s="16">
        <v>30</v>
      </c>
      <c r="L9" s="16">
        <v>9</v>
      </c>
      <c r="M9" s="73">
        <v>11.22</v>
      </c>
      <c r="N9" s="88">
        <v>11.22</v>
      </c>
      <c r="O9" s="57">
        <v>7000</v>
      </c>
      <c r="P9" s="58">
        <f>Table224578910112345678910111213141516[[#This Row],[PEMBULATAN]]*O9</f>
        <v>78540</v>
      </c>
    </row>
    <row r="10" spans="1:16" ht="26.25" customHeight="1" x14ac:dyDescent="0.2">
      <c r="A10" s="14"/>
      <c r="B10" s="14"/>
      <c r="C10" s="66" t="s">
        <v>152</v>
      </c>
      <c r="D10" s="69" t="s">
        <v>59</v>
      </c>
      <c r="E10" s="13">
        <v>44524</v>
      </c>
      <c r="F10" s="69" t="s">
        <v>142</v>
      </c>
      <c r="G10" s="13">
        <v>44529</v>
      </c>
      <c r="H10" s="10" t="s">
        <v>143</v>
      </c>
      <c r="I10" s="16">
        <v>44</v>
      </c>
      <c r="J10" s="16">
        <v>34</v>
      </c>
      <c r="K10" s="16">
        <v>30</v>
      </c>
      <c r="L10" s="16">
        <v>9</v>
      </c>
      <c r="M10" s="73">
        <v>11.22</v>
      </c>
      <c r="N10" s="88">
        <v>11.22</v>
      </c>
      <c r="O10" s="57">
        <v>7000</v>
      </c>
      <c r="P10" s="58">
        <f>Table224578910112345678910111213141516[[#This Row],[PEMBULATAN]]*O10</f>
        <v>78540</v>
      </c>
    </row>
    <row r="11" spans="1:16" ht="26.25" customHeight="1" x14ac:dyDescent="0.2">
      <c r="A11" s="14"/>
      <c r="B11" s="14"/>
      <c r="C11" s="66" t="s">
        <v>153</v>
      </c>
      <c r="D11" s="69" t="s">
        <v>59</v>
      </c>
      <c r="E11" s="13">
        <v>44524</v>
      </c>
      <c r="F11" s="69" t="s">
        <v>142</v>
      </c>
      <c r="G11" s="13">
        <v>44529</v>
      </c>
      <c r="H11" s="10" t="s">
        <v>143</v>
      </c>
      <c r="I11" s="16">
        <v>44</v>
      </c>
      <c r="J11" s="16">
        <v>34</v>
      </c>
      <c r="K11" s="16">
        <v>30</v>
      </c>
      <c r="L11" s="16">
        <v>9</v>
      </c>
      <c r="M11" s="73">
        <v>11.22</v>
      </c>
      <c r="N11" s="88">
        <v>11.22</v>
      </c>
      <c r="O11" s="57">
        <v>7000</v>
      </c>
      <c r="P11" s="58">
        <f>Table224578910112345678910111213141516[[#This Row],[PEMBULATAN]]*O11</f>
        <v>78540</v>
      </c>
    </row>
    <row r="12" spans="1:16" ht="22.5" customHeight="1" x14ac:dyDescent="0.2">
      <c r="A12" s="116" t="s">
        <v>30</v>
      </c>
      <c r="B12" s="117"/>
      <c r="C12" s="117"/>
      <c r="D12" s="117"/>
      <c r="E12" s="117"/>
      <c r="F12" s="117"/>
      <c r="G12" s="117"/>
      <c r="H12" s="117"/>
      <c r="I12" s="117"/>
      <c r="J12" s="117"/>
      <c r="K12" s="117"/>
      <c r="L12" s="118"/>
      <c r="M12" s="71">
        <f>SUBTOTAL(109,Table224578910112345678910111213141516[KG VOLUME])</f>
        <v>66.522000000000006</v>
      </c>
      <c r="N12" s="61">
        <f>SUM(N3:N11)</f>
        <v>88.88</v>
      </c>
      <c r="O12" s="119">
        <f>SUM(P3:P11)</f>
        <v>622160</v>
      </c>
      <c r="P12" s="120"/>
    </row>
    <row r="13" spans="1:16" ht="18" customHeight="1" x14ac:dyDescent="0.2">
      <c r="A13" s="78"/>
      <c r="B13" s="49" t="s">
        <v>42</v>
      </c>
      <c r="C13" s="48"/>
      <c r="D13" s="50" t="s">
        <v>43</v>
      </c>
      <c r="E13" s="78"/>
      <c r="F13" s="78"/>
      <c r="G13" s="78"/>
      <c r="H13" s="78"/>
      <c r="I13" s="78"/>
      <c r="J13" s="78"/>
      <c r="K13" s="78"/>
      <c r="L13" s="78"/>
      <c r="M13" s="79"/>
      <c r="N13" s="80" t="s">
        <v>51</v>
      </c>
      <c r="O13" s="81"/>
      <c r="P13" s="81">
        <f>O12*10%</f>
        <v>62216</v>
      </c>
    </row>
    <row r="14" spans="1:16" ht="18" customHeight="1" thickBot="1" x14ac:dyDescent="0.25">
      <c r="A14" s="78"/>
      <c r="B14" s="49"/>
      <c r="C14" s="48"/>
      <c r="D14" s="50"/>
      <c r="E14" s="78"/>
      <c r="F14" s="78"/>
      <c r="G14" s="78"/>
      <c r="H14" s="78"/>
      <c r="I14" s="78"/>
      <c r="J14" s="78"/>
      <c r="K14" s="78"/>
      <c r="L14" s="78"/>
      <c r="M14" s="79"/>
      <c r="N14" s="82" t="s">
        <v>52</v>
      </c>
      <c r="O14" s="83"/>
      <c r="P14" s="83">
        <f>O12-P13</f>
        <v>559944</v>
      </c>
    </row>
    <row r="15" spans="1:16" ht="18" customHeight="1" x14ac:dyDescent="0.2">
      <c r="A15" s="11"/>
      <c r="H15" s="56"/>
      <c r="N15" s="55" t="s">
        <v>31</v>
      </c>
      <c r="P15" s="62">
        <f>P14*1%</f>
        <v>5599.4400000000005</v>
      </c>
    </row>
    <row r="16" spans="1:16" ht="18" customHeight="1" thickBot="1" x14ac:dyDescent="0.25">
      <c r="A16" s="11"/>
      <c r="H16" s="56"/>
      <c r="N16" s="55" t="s">
        <v>53</v>
      </c>
      <c r="P16" s="64">
        <f>P14*2%</f>
        <v>11198.880000000001</v>
      </c>
    </row>
    <row r="17" spans="1:16" ht="18" customHeight="1" x14ac:dyDescent="0.2">
      <c r="A17" s="11"/>
      <c r="H17" s="56"/>
      <c r="N17" s="59" t="s">
        <v>32</v>
      </c>
      <c r="O17" s="60"/>
      <c r="P17" s="63">
        <f>P14+P15-P16</f>
        <v>554344.55999999994</v>
      </c>
    </row>
    <row r="19" spans="1:16" x14ac:dyDescent="0.2">
      <c r="A19" s="11"/>
      <c r="H19" s="56"/>
      <c r="P19" s="64"/>
    </row>
    <row r="20" spans="1:16" x14ac:dyDescent="0.2">
      <c r="A20" s="11"/>
      <c r="H20" s="56"/>
      <c r="O20" s="51"/>
      <c r="P20" s="64"/>
    </row>
    <row r="21" spans="1:16" s="3" customFormat="1" x14ac:dyDescent="0.25">
      <c r="A21" s="11"/>
      <c r="B21" s="2"/>
      <c r="C21" s="2"/>
      <c r="E21" s="12"/>
      <c r="H21" s="56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56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56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56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56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56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56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56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56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56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56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56"/>
      <c r="N32" s="15"/>
      <c r="O32" s="15"/>
      <c r="P32" s="15"/>
    </row>
  </sheetData>
  <mergeCells count="2">
    <mergeCell ref="A12:L12"/>
    <mergeCell ref="O12:P12"/>
  </mergeCells>
  <conditionalFormatting sqref="B3">
    <cfRule type="duplicateValues" dxfId="85" priority="2"/>
  </conditionalFormatting>
  <conditionalFormatting sqref="B4">
    <cfRule type="duplicateValues" dxfId="84" priority="1"/>
  </conditionalFormatting>
  <conditionalFormatting sqref="B5:B11">
    <cfRule type="duplicateValues" dxfId="83" priority="1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2"/>
  <sheetViews>
    <sheetView zoomScale="110" zoomScaleNormal="110" workbookViewId="0">
      <pane xSplit="3" ySplit="2" topLeftCell="D4" activePane="bottomRight" state="frozen"/>
      <selection pane="topRight" activeCell="B1" sqref="B1"/>
      <selection pane="bottomLeft" activeCell="A3" sqref="A3"/>
      <selection pane="bottomRight" activeCell="O13" sqref="O1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75">
        <v>403719</v>
      </c>
      <c r="B3" s="67" t="s">
        <v>154</v>
      </c>
      <c r="C3" s="9" t="s">
        <v>155</v>
      </c>
      <c r="D3" s="69" t="s">
        <v>59</v>
      </c>
      <c r="E3" s="13">
        <v>44526</v>
      </c>
      <c r="F3" s="69" t="s">
        <v>164</v>
      </c>
      <c r="G3" s="13">
        <v>44531</v>
      </c>
      <c r="H3" s="10" t="s">
        <v>165</v>
      </c>
      <c r="I3" s="1">
        <v>60</v>
      </c>
      <c r="J3" s="1">
        <v>50</v>
      </c>
      <c r="K3" s="1">
        <v>38</v>
      </c>
      <c r="L3" s="1">
        <v>11</v>
      </c>
      <c r="M3" s="72">
        <v>28.5</v>
      </c>
      <c r="N3" s="8">
        <v>30</v>
      </c>
      <c r="O3" s="57">
        <v>7000</v>
      </c>
      <c r="P3" s="58">
        <f>Table22457891011234567891011121314151617[[#This Row],[PEMBULATAN]]*O3</f>
        <v>210000</v>
      </c>
    </row>
    <row r="4" spans="1:16" ht="26.25" customHeight="1" x14ac:dyDescent="0.2">
      <c r="A4" s="14"/>
      <c r="B4" s="68"/>
      <c r="C4" s="9" t="s">
        <v>156</v>
      </c>
      <c r="D4" s="69" t="s">
        <v>59</v>
      </c>
      <c r="E4" s="13">
        <v>44526</v>
      </c>
      <c r="F4" s="69" t="s">
        <v>164</v>
      </c>
      <c r="G4" s="13">
        <v>44531</v>
      </c>
      <c r="H4" s="10" t="s">
        <v>165</v>
      </c>
      <c r="I4" s="1">
        <v>80</v>
      </c>
      <c r="J4" s="1">
        <v>50</v>
      </c>
      <c r="K4" s="1">
        <v>8</v>
      </c>
      <c r="L4" s="1">
        <v>10</v>
      </c>
      <c r="M4" s="72">
        <v>8</v>
      </c>
      <c r="N4" s="8">
        <v>10</v>
      </c>
      <c r="O4" s="57">
        <v>7000</v>
      </c>
      <c r="P4" s="58">
        <f>Table22457891011234567891011121314151617[[#This Row],[PEMBULATAN]]*O4</f>
        <v>70000</v>
      </c>
    </row>
    <row r="5" spans="1:16" ht="26.25" customHeight="1" x14ac:dyDescent="0.2">
      <c r="A5" s="14"/>
      <c r="B5" s="14"/>
      <c r="C5" s="9" t="s">
        <v>157</v>
      </c>
      <c r="D5" s="69" t="s">
        <v>59</v>
      </c>
      <c r="E5" s="13">
        <v>44526</v>
      </c>
      <c r="F5" s="69" t="s">
        <v>164</v>
      </c>
      <c r="G5" s="13">
        <v>44531</v>
      </c>
      <c r="H5" s="10" t="s">
        <v>165</v>
      </c>
      <c r="I5" s="1">
        <v>59</v>
      </c>
      <c r="J5" s="1">
        <v>40</v>
      </c>
      <c r="K5" s="1">
        <v>10</v>
      </c>
      <c r="L5" s="1">
        <v>10</v>
      </c>
      <c r="M5" s="72">
        <v>5.9</v>
      </c>
      <c r="N5" s="8">
        <v>10</v>
      </c>
      <c r="O5" s="57">
        <v>7000</v>
      </c>
      <c r="P5" s="58">
        <f>Table22457891011234567891011121314151617[[#This Row],[PEMBULATAN]]*O5</f>
        <v>70000</v>
      </c>
    </row>
    <row r="6" spans="1:16" ht="26.25" customHeight="1" x14ac:dyDescent="0.2">
      <c r="A6" s="14"/>
      <c r="B6" s="14"/>
      <c r="C6" s="66" t="s">
        <v>158</v>
      </c>
      <c r="D6" s="69" t="s">
        <v>59</v>
      </c>
      <c r="E6" s="13">
        <v>44526</v>
      </c>
      <c r="F6" s="69" t="s">
        <v>164</v>
      </c>
      <c r="G6" s="13">
        <v>44531</v>
      </c>
      <c r="H6" s="70" t="s">
        <v>165</v>
      </c>
      <c r="I6" s="16">
        <v>40</v>
      </c>
      <c r="J6" s="16">
        <v>30</v>
      </c>
      <c r="K6" s="16">
        <v>15</v>
      </c>
      <c r="L6" s="16">
        <v>10</v>
      </c>
      <c r="M6" s="73">
        <v>4.5</v>
      </c>
      <c r="N6" s="65">
        <v>11</v>
      </c>
      <c r="O6" s="57">
        <v>7000</v>
      </c>
      <c r="P6" s="58">
        <f>Table22457891011234567891011121314151617[[#This Row],[PEMBULATAN]]*O6</f>
        <v>77000</v>
      </c>
    </row>
    <row r="7" spans="1:16" ht="26.25" customHeight="1" x14ac:dyDescent="0.2">
      <c r="A7" s="14"/>
      <c r="B7" s="14"/>
      <c r="C7" s="66" t="s">
        <v>159</v>
      </c>
      <c r="D7" s="69" t="s">
        <v>59</v>
      </c>
      <c r="E7" s="13">
        <v>44526</v>
      </c>
      <c r="F7" s="69" t="s">
        <v>164</v>
      </c>
      <c r="G7" s="13">
        <v>44531</v>
      </c>
      <c r="H7" s="70" t="s">
        <v>165</v>
      </c>
      <c r="I7" s="16">
        <v>40</v>
      </c>
      <c r="J7" s="16">
        <v>30</v>
      </c>
      <c r="K7" s="16">
        <v>15</v>
      </c>
      <c r="L7" s="16">
        <v>10</v>
      </c>
      <c r="M7" s="73">
        <v>4.5</v>
      </c>
      <c r="N7" s="65">
        <v>11</v>
      </c>
      <c r="O7" s="57">
        <v>7000</v>
      </c>
      <c r="P7" s="58">
        <f>Table22457891011234567891011121314151617[[#This Row],[PEMBULATAN]]*O7</f>
        <v>77000</v>
      </c>
    </row>
    <row r="8" spans="1:16" ht="26.25" customHeight="1" x14ac:dyDescent="0.2">
      <c r="A8" s="14"/>
      <c r="B8" s="14"/>
      <c r="C8" s="66" t="s">
        <v>160</v>
      </c>
      <c r="D8" s="69" t="s">
        <v>59</v>
      </c>
      <c r="E8" s="13">
        <v>44526</v>
      </c>
      <c r="F8" s="69" t="s">
        <v>164</v>
      </c>
      <c r="G8" s="13">
        <v>44531</v>
      </c>
      <c r="H8" s="70" t="s">
        <v>165</v>
      </c>
      <c r="I8" s="16">
        <v>58</v>
      </c>
      <c r="J8" s="16">
        <v>40</v>
      </c>
      <c r="K8" s="16">
        <v>10</v>
      </c>
      <c r="L8" s="16">
        <v>10</v>
      </c>
      <c r="M8" s="73">
        <v>5.8</v>
      </c>
      <c r="N8" s="65">
        <v>10</v>
      </c>
      <c r="O8" s="57">
        <v>7000</v>
      </c>
      <c r="P8" s="58">
        <f>Table22457891011234567891011121314151617[[#This Row],[PEMBULATAN]]*O8</f>
        <v>70000</v>
      </c>
    </row>
    <row r="9" spans="1:16" ht="26.25" customHeight="1" x14ac:dyDescent="0.2">
      <c r="A9" s="14"/>
      <c r="B9" s="14"/>
      <c r="C9" s="66" t="s">
        <v>161</v>
      </c>
      <c r="D9" s="69" t="s">
        <v>59</v>
      </c>
      <c r="E9" s="13">
        <v>44526</v>
      </c>
      <c r="F9" s="69" t="s">
        <v>164</v>
      </c>
      <c r="G9" s="13">
        <v>44531</v>
      </c>
      <c r="H9" s="70" t="s">
        <v>165</v>
      </c>
      <c r="I9" s="16">
        <v>43</v>
      </c>
      <c r="J9" s="16">
        <v>32</v>
      </c>
      <c r="K9" s="16">
        <v>15</v>
      </c>
      <c r="L9" s="16">
        <v>10</v>
      </c>
      <c r="M9" s="73">
        <v>5.16</v>
      </c>
      <c r="N9" s="65">
        <v>10</v>
      </c>
      <c r="O9" s="57">
        <v>7000</v>
      </c>
      <c r="P9" s="58">
        <f>Table22457891011234567891011121314151617[[#This Row],[PEMBULATAN]]*O9</f>
        <v>70000</v>
      </c>
    </row>
    <row r="10" spans="1:16" ht="26.25" customHeight="1" x14ac:dyDescent="0.2">
      <c r="A10" s="14"/>
      <c r="B10" s="14"/>
      <c r="C10" s="66" t="s">
        <v>162</v>
      </c>
      <c r="D10" s="69" t="s">
        <v>59</v>
      </c>
      <c r="E10" s="13">
        <v>44526</v>
      </c>
      <c r="F10" s="69" t="s">
        <v>164</v>
      </c>
      <c r="G10" s="13">
        <v>44531</v>
      </c>
      <c r="H10" s="70" t="s">
        <v>165</v>
      </c>
      <c r="I10" s="16">
        <v>43</v>
      </c>
      <c r="J10" s="16">
        <v>32</v>
      </c>
      <c r="K10" s="16">
        <v>15</v>
      </c>
      <c r="L10" s="16">
        <v>10</v>
      </c>
      <c r="M10" s="73">
        <v>5.16</v>
      </c>
      <c r="N10" s="65">
        <v>10</v>
      </c>
      <c r="O10" s="57">
        <v>7000</v>
      </c>
      <c r="P10" s="58">
        <f>Table22457891011234567891011121314151617[[#This Row],[PEMBULATAN]]*O10</f>
        <v>70000</v>
      </c>
    </row>
    <row r="11" spans="1:16" ht="26.25" customHeight="1" x14ac:dyDescent="0.2">
      <c r="A11" s="14"/>
      <c r="B11" s="14"/>
      <c r="C11" s="66" t="s">
        <v>163</v>
      </c>
      <c r="D11" s="69" t="s">
        <v>59</v>
      </c>
      <c r="E11" s="13">
        <v>44526</v>
      </c>
      <c r="F11" s="69" t="s">
        <v>164</v>
      </c>
      <c r="G11" s="13">
        <v>44531</v>
      </c>
      <c r="H11" s="70" t="s">
        <v>165</v>
      </c>
      <c r="I11" s="16">
        <v>43</v>
      </c>
      <c r="J11" s="16">
        <v>32</v>
      </c>
      <c r="K11" s="16">
        <v>15</v>
      </c>
      <c r="L11" s="16">
        <v>10</v>
      </c>
      <c r="M11" s="73">
        <v>5.16</v>
      </c>
      <c r="N11" s="65">
        <v>10</v>
      </c>
      <c r="O11" s="57">
        <v>7000</v>
      </c>
      <c r="P11" s="58">
        <f>Table22457891011234567891011121314151617[[#This Row],[PEMBULATAN]]*O11</f>
        <v>70000</v>
      </c>
    </row>
    <row r="12" spans="1:16" ht="22.5" customHeight="1" x14ac:dyDescent="0.2">
      <c r="A12" s="116" t="s">
        <v>30</v>
      </c>
      <c r="B12" s="117"/>
      <c r="C12" s="117"/>
      <c r="D12" s="117"/>
      <c r="E12" s="117"/>
      <c r="F12" s="117"/>
      <c r="G12" s="117"/>
      <c r="H12" s="117"/>
      <c r="I12" s="117"/>
      <c r="J12" s="117"/>
      <c r="K12" s="117"/>
      <c r="L12" s="118"/>
      <c r="M12" s="71">
        <f>SUBTOTAL(109,Table22457891011234567891011121314151617[KG VOLUME])</f>
        <v>72.679999999999993</v>
      </c>
      <c r="N12" s="61">
        <f>SUM(N3:N11)</f>
        <v>112</v>
      </c>
      <c r="O12" s="119">
        <f>SUM(P3:P11)</f>
        <v>784000</v>
      </c>
      <c r="P12" s="120"/>
    </row>
    <row r="13" spans="1:16" ht="18" customHeight="1" x14ac:dyDescent="0.2">
      <c r="A13" s="78"/>
      <c r="B13" s="49" t="s">
        <v>42</v>
      </c>
      <c r="C13" s="48"/>
      <c r="D13" s="50" t="s">
        <v>43</v>
      </c>
      <c r="E13" s="78"/>
      <c r="F13" s="78"/>
      <c r="G13" s="78"/>
      <c r="H13" s="78"/>
      <c r="I13" s="78"/>
      <c r="J13" s="78"/>
      <c r="K13" s="78"/>
      <c r="L13" s="78"/>
      <c r="M13" s="79"/>
      <c r="N13" s="80" t="s">
        <v>51</v>
      </c>
      <c r="O13" s="81"/>
      <c r="P13" s="81">
        <f>O12*10%</f>
        <v>78400</v>
      </c>
    </row>
    <row r="14" spans="1:16" ht="18" customHeight="1" thickBot="1" x14ac:dyDescent="0.25">
      <c r="A14" s="78"/>
      <c r="B14" s="49"/>
      <c r="C14" s="48"/>
      <c r="D14" s="50"/>
      <c r="E14" s="78"/>
      <c r="F14" s="78"/>
      <c r="G14" s="78"/>
      <c r="H14" s="78"/>
      <c r="I14" s="78"/>
      <c r="J14" s="78"/>
      <c r="K14" s="78"/>
      <c r="L14" s="78"/>
      <c r="M14" s="79"/>
      <c r="N14" s="82" t="s">
        <v>52</v>
      </c>
      <c r="O14" s="83"/>
      <c r="P14" s="83">
        <f>O12-P13</f>
        <v>705600</v>
      </c>
    </row>
    <row r="15" spans="1:16" ht="18" customHeight="1" x14ac:dyDescent="0.2">
      <c r="A15" s="11"/>
      <c r="H15" s="56"/>
      <c r="N15" s="55" t="s">
        <v>31</v>
      </c>
      <c r="P15" s="62">
        <f>P14*1%</f>
        <v>7056</v>
      </c>
    </row>
    <row r="16" spans="1:16" ht="18" customHeight="1" thickBot="1" x14ac:dyDescent="0.25">
      <c r="A16" s="11"/>
      <c r="H16" s="56"/>
      <c r="N16" s="55" t="s">
        <v>53</v>
      </c>
      <c r="P16" s="64">
        <f>P14*2%</f>
        <v>14112</v>
      </c>
    </row>
    <row r="17" spans="1:16" ht="18" customHeight="1" x14ac:dyDescent="0.2">
      <c r="A17" s="11"/>
      <c r="H17" s="56"/>
      <c r="N17" s="59" t="s">
        <v>32</v>
      </c>
      <c r="O17" s="60"/>
      <c r="P17" s="63">
        <f>P14+P15-P16</f>
        <v>698544</v>
      </c>
    </row>
    <row r="19" spans="1:16" x14ac:dyDescent="0.2">
      <c r="A19" s="11"/>
      <c r="H19" s="56"/>
      <c r="P19" s="64"/>
    </row>
    <row r="20" spans="1:16" x14ac:dyDescent="0.2">
      <c r="A20" s="11"/>
      <c r="H20" s="56"/>
      <c r="O20" s="51"/>
      <c r="P20" s="64"/>
    </row>
    <row r="21" spans="1:16" s="3" customFormat="1" x14ac:dyDescent="0.25">
      <c r="A21" s="11"/>
      <c r="B21" s="2"/>
      <c r="C21" s="2"/>
      <c r="E21" s="12"/>
      <c r="H21" s="56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56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56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56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56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56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56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56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56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56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56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56"/>
      <c r="N32" s="15"/>
      <c r="O32" s="15"/>
      <c r="P32" s="15"/>
    </row>
  </sheetData>
  <mergeCells count="2">
    <mergeCell ref="A12:L12"/>
    <mergeCell ref="O12:P12"/>
  </mergeCells>
  <conditionalFormatting sqref="B3">
    <cfRule type="duplicateValues" dxfId="67" priority="2"/>
  </conditionalFormatting>
  <conditionalFormatting sqref="B4">
    <cfRule type="duplicateValues" dxfId="66" priority="1"/>
  </conditionalFormatting>
  <conditionalFormatting sqref="B5:B11">
    <cfRule type="duplicateValues" dxfId="65" priority="1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5" sqref="O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75">
        <v>403723</v>
      </c>
      <c r="B3" s="67" t="s">
        <v>166</v>
      </c>
      <c r="C3" s="9" t="s">
        <v>167</v>
      </c>
      <c r="D3" s="69" t="s">
        <v>59</v>
      </c>
      <c r="E3" s="13">
        <v>44527</v>
      </c>
      <c r="F3" s="69" t="s">
        <v>164</v>
      </c>
      <c r="G3" s="13">
        <v>44531</v>
      </c>
      <c r="H3" s="10" t="s">
        <v>165</v>
      </c>
      <c r="I3" s="1">
        <v>26</v>
      </c>
      <c r="J3" s="1">
        <v>33</v>
      </c>
      <c r="K3" s="1">
        <v>20</v>
      </c>
      <c r="L3" s="1">
        <v>4</v>
      </c>
      <c r="M3" s="72">
        <v>4.29</v>
      </c>
      <c r="N3" s="88">
        <v>4.29</v>
      </c>
      <c r="O3" s="57">
        <v>7000</v>
      </c>
      <c r="P3" s="58">
        <f>Table2245789101123456789101112131415161718[[#This Row],[PEMBULATAN]]*O3</f>
        <v>30030</v>
      </c>
    </row>
    <row r="4" spans="1:16" ht="22.5" customHeight="1" x14ac:dyDescent="0.2">
      <c r="A4" s="116" t="s">
        <v>30</v>
      </c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8"/>
      <c r="M4" s="71">
        <f>SUBTOTAL(109,Table2245789101123456789101112131415161718[KG VOLUME])</f>
        <v>4.29</v>
      </c>
      <c r="N4" s="61">
        <f>SUM(N3:N3)</f>
        <v>4.29</v>
      </c>
      <c r="O4" s="119">
        <f>SUM(P3:P3)</f>
        <v>30030</v>
      </c>
      <c r="P4" s="120"/>
    </row>
    <row r="5" spans="1:16" ht="18" customHeight="1" x14ac:dyDescent="0.2">
      <c r="A5" s="78"/>
      <c r="B5" s="49" t="s">
        <v>42</v>
      </c>
      <c r="C5" s="48"/>
      <c r="D5" s="50" t="s">
        <v>43</v>
      </c>
      <c r="E5" s="78"/>
      <c r="F5" s="78"/>
      <c r="G5" s="78"/>
      <c r="H5" s="78"/>
      <c r="I5" s="78"/>
      <c r="J5" s="78"/>
      <c r="K5" s="78"/>
      <c r="L5" s="78"/>
      <c r="M5" s="79"/>
      <c r="N5" s="80" t="s">
        <v>51</v>
      </c>
      <c r="O5" s="81"/>
      <c r="P5" s="81">
        <f>O4*10%</f>
        <v>3003</v>
      </c>
    </row>
    <row r="6" spans="1:16" ht="18" customHeight="1" thickBot="1" x14ac:dyDescent="0.25">
      <c r="A6" s="78"/>
      <c r="B6" s="49"/>
      <c r="C6" s="48"/>
      <c r="D6" s="50"/>
      <c r="E6" s="78"/>
      <c r="F6" s="78"/>
      <c r="G6" s="78"/>
      <c r="H6" s="78"/>
      <c r="I6" s="78"/>
      <c r="J6" s="78"/>
      <c r="K6" s="78"/>
      <c r="L6" s="78"/>
      <c r="M6" s="79"/>
      <c r="N6" s="82" t="s">
        <v>52</v>
      </c>
      <c r="O6" s="83"/>
      <c r="P6" s="83">
        <f>O4-P5</f>
        <v>27027</v>
      </c>
    </row>
    <row r="7" spans="1:16" ht="18" customHeight="1" x14ac:dyDescent="0.2">
      <c r="A7" s="11"/>
      <c r="H7" s="56"/>
      <c r="N7" s="55" t="s">
        <v>31</v>
      </c>
      <c r="P7" s="62">
        <f>P6*1%</f>
        <v>270.27</v>
      </c>
    </row>
    <row r="8" spans="1:16" ht="18" customHeight="1" thickBot="1" x14ac:dyDescent="0.25">
      <c r="A8" s="11"/>
      <c r="H8" s="56"/>
      <c r="N8" s="55" t="s">
        <v>53</v>
      </c>
      <c r="P8" s="64">
        <f>P6*2%</f>
        <v>540.54</v>
      </c>
    </row>
    <row r="9" spans="1:16" ht="18" customHeight="1" x14ac:dyDescent="0.2">
      <c r="A9" s="11"/>
      <c r="H9" s="56"/>
      <c r="N9" s="59" t="s">
        <v>32</v>
      </c>
      <c r="O9" s="60"/>
      <c r="P9" s="63">
        <f>P6+P7-P8</f>
        <v>26756.73</v>
      </c>
    </row>
    <row r="11" spans="1:16" x14ac:dyDescent="0.2">
      <c r="A11" s="11"/>
      <c r="H11" s="56"/>
      <c r="P11" s="64"/>
    </row>
    <row r="12" spans="1:16" x14ac:dyDescent="0.2">
      <c r="A12" s="11"/>
      <c r="H12" s="56"/>
      <c r="O12" s="51"/>
      <c r="P12" s="64"/>
    </row>
    <row r="13" spans="1:16" s="3" customFormat="1" x14ac:dyDescent="0.25">
      <c r="A13" s="11"/>
      <c r="B13" s="2"/>
      <c r="C13" s="2"/>
      <c r="E13" s="12"/>
      <c r="H13" s="56"/>
      <c r="N13" s="15"/>
      <c r="O13" s="15"/>
      <c r="P13" s="15"/>
    </row>
    <row r="14" spans="1:16" s="3" customFormat="1" x14ac:dyDescent="0.25">
      <c r="A14" s="11"/>
      <c r="B14" s="2"/>
      <c r="C14" s="2"/>
      <c r="E14" s="12"/>
      <c r="H14" s="56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56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56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56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56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56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56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56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56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56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56"/>
      <c r="N24" s="15"/>
      <c r="O24" s="15"/>
      <c r="P24" s="15"/>
    </row>
  </sheetData>
  <mergeCells count="2">
    <mergeCell ref="A4:L4"/>
    <mergeCell ref="O4:P4"/>
  </mergeCells>
  <conditionalFormatting sqref="B3">
    <cfRule type="duplicateValues" dxfId="49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2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13" sqref="O1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75">
        <v>403732</v>
      </c>
      <c r="B3" s="67" t="s">
        <v>176</v>
      </c>
      <c r="C3" s="9" t="s">
        <v>177</v>
      </c>
      <c r="D3" s="69" t="s">
        <v>59</v>
      </c>
      <c r="E3" s="13">
        <v>44528</v>
      </c>
      <c r="F3" s="69" t="s">
        <v>164</v>
      </c>
      <c r="G3" s="13">
        <v>44527</v>
      </c>
      <c r="H3" s="10" t="s">
        <v>165</v>
      </c>
      <c r="I3" s="1">
        <v>50</v>
      </c>
      <c r="J3" s="1">
        <v>30</v>
      </c>
      <c r="K3" s="1">
        <v>25</v>
      </c>
      <c r="L3" s="1">
        <v>16</v>
      </c>
      <c r="M3" s="72">
        <v>9.375</v>
      </c>
      <c r="N3" s="88">
        <v>17</v>
      </c>
      <c r="O3" s="57">
        <v>7000</v>
      </c>
      <c r="P3" s="58">
        <f>Table2245789101123456789101112131415161720[[#This Row],[PEMBULATAN]]*O3</f>
        <v>119000</v>
      </c>
    </row>
    <row r="4" spans="1:16" ht="26.25" customHeight="1" x14ac:dyDescent="0.2">
      <c r="A4" s="14"/>
      <c r="B4" s="68"/>
      <c r="C4" s="9" t="s">
        <v>178</v>
      </c>
      <c r="D4" s="69" t="s">
        <v>59</v>
      </c>
      <c r="E4" s="13">
        <v>44528</v>
      </c>
      <c r="F4" s="69" t="s">
        <v>164</v>
      </c>
      <c r="G4" s="13">
        <v>44527</v>
      </c>
      <c r="H4" s="10" t="s">
        <v>165</v>
      </c>
      <c r="I4" s="1">
        <v>75</v>
      </c>
      <c r="J4" s="1">
        <v>47</v>
      </c>
      <c r="K4" s="1">
        <v>8</v>
      </c>
      <c r="L4" s="1">
        <v>10</v>
      </c>
      <c r="M4" s="72">
        <v>7.05</v>
      </c>
      <c r="N4" s="88">
        <v>10</v>
      </c>
      <c r="O4" s="57">
        <v>7000</v>
      </c>
      <c r="P4" s="58">
        <f>Table2245789101123456789101112131415161720[[#This Row],[PEMBULATAN]]*O4</f>
        <v>70000</v>
      </c>
    </row>
    <row r="5" spans="1:16" ht="26.25" customHeight="1" x14ac:dyDescent="0.2">
      <c r="A5" s="14"/>
      <c r="B5" s="14"/>
      <c r="C5" s="9" t="s">
        <v>179</v>
      </c>
      <c r="D5" s="69" t="s">
        <v>59</v>
      </c>
      <c r="E5" s="13">
        <v>44528</v>
      </c>
      <c r="F5" s="69" t="s">
        <v>164</v>
      </c>
      <c r="G5" s="13">
        <v>44527</v>
      </c>
      <c r="H5" s="10" t="s">
        <v>165</v>
      </c>
      <c r="I5" s="1">
        <v>43</v>
      </c>
      <c r="J5" s="1">
        <v>33</v>
      </c>
      <c r="K5" s="1">
        <v>28</v>
      </c>
      <c r="L5" s="1">
        <v>15</v>
      </c>
      <c r="M5" s="72">
        <v>9.9329999999999998</v>
      </c>
      <c r="N5" s="88">
        <v>15</v>
      </c>
      <c r="O5" s="57">
        <v>7000</v>
      </c>
      <c r="P5" s="58">
        <f>Table2245789101123456789101112131415161720[[#This Row],[PEMBULATAN]]*O5</f>
        <v>105000</v>
      </c>
    </row>
    <row r="6" spans="1:16" ht="26.25" customHeight="1" x14ac:dyDescent="0.2">
      <c r="A6" s="14"/>
      <c r="B6" s="14"/>
      <c r="C6" s="66" t="s">
        <v>180</v>
      </c>
      <c r="D6" s="69" t="s">
        <v>59</v>
      </c>
      <c r="E6" s="13">
        <v>44528</v>
      </c>
      <c r="F6" s="69" t="s">
        <v>164</v>
      </c>
      <c r="G6" s="13">
        <v>44527</v>
      </c>
      <c r="H6" s="70" t="s">
        <v>165</v>
      </c>
      <c r="I6" s="16">
        <v>75</v>
      </c>
      <c r="J6" s="16">
        <v>40</v>
      </c>
      <c r="K6" s="16">
        <v>12</v>
      </c>
      <c r="L6" s="16">
        <v>10</v>
      </c>
      <c r="M6" s="73">
        <v>9</v>
      </c>
      <c r="N6" s="88">
        <v>10</v>
      </c>
      <c r="O6" s="57">
        <v>7000</v>
      </c>
      <c r="P6" s="58">
        <f>Table2245789101123456789101112131415161720[[#This Row],[PEMBULATAN]]*O6</f>
        <v>70000</v>
      </c>
    </row>
    <row r="7" spans="1:16" ht="26.25" customHeight="1" x14ac:dyDescent="0.2">
      <c r="A7" s="14"/>
      <c r="B7" s="14"/>
      <c r="C7" s="66" t="s">
        <v>181</v>
      </c>
      <c r="D7" s="69" t="s">
        <v>59</v>
      </c>
      <c r="E7" s="13">
        <v>44528</v>
      </c>
      <c r="F7" s="69" t="s">
        <v>164</v>
      </c>
      <c r="G7" s="13">
        <v>44527</v>
      </c>
      <c r="H7" s="70" t="s">
        <v>165</v>
      </c>
      <c r="I7" s="16">
        <v>75</v>
      </c>
      <c r="J7" s="16">
        <v>48</v>
      </c>
      <c r="K7" s="16">
        <v>12</v>
      </c>
      <c r="L7" s="16">
        <v>10</v>
      </c>
      <c r="M7" s="73">
        <v>10.8</v>
      </c>
      <c r="N7" s="88">
        <v>10.8</v>
      </c>
      <c r="O7" s="57">
        <v>7000</v>
      </c>
      <c r="P7" s="58">
        <f>Table2245789101123456789101112131415161720[[#This Row],[PEMBULATAN]]*O7</f>
        <v>75600</v>
      </c>
    </row>
    <row r="8" spans="1:16" ht="26.25" customHeight="1" x14ac:dyDescent="0.2">
      <c r="A8" s="14"/>
      <c r="B8" s="14"/>
      <c r="C8" s="66" t="s">
        <v>182</v>
      </c>
      <c r="D8" s="69" t="s">
        <v>59</v>
      </c>
      <c r="E8" s="13">
        <v>44528</v>
      </c>
      <c r="F8" s="69" t="s">
        <v>164</v>
      </c>
      <c r="G8" s="13">
        <v>44527</v>
      </c>
      <c r="H8" s="70" t="s">
        <v>165</v>
      </c>
      <c r="I8" s="16">
        <v>36</v>
      </c>
      <c r="J8" s="16">
        <v>36</v>
      </c>
      <c r="K8" s="16">
        <v>18</v>
      </c>
      <c r="L8" s="16">
        <v>12</v>
      </c>
      <c r="M8" s="73">
        <v>5.8319999999999999</v>
      </c>
      <c r="N8" s="88">
        <v>12</v>
      </c>
      <c r="O8" s="57">
        <v>7000</v>
      </c>
      <c r="P8" s="58">
        <f>Table2245789101123456789101112131415161720[[#This Row],[PEMBULATAN]]*O8</f>
        <v>84000</v>
      </c>
    </row>
    <row r="9" spans="1:16" ht="26.25" customHeight="1" x14ac:dyDescent="0.2">
      <c r="A9" s="14"/>
      <c r="B9" s="14"/>
      <c r="C9" s="66" t="s">
        <v>183</v>
      </c>
      <c r="D9" s="69" t="s">
        <v>59</v>
      </c>
      <c r="E9" s="13">
        <v>44528</v>
      </c>
      <c r="F9" s="69" t="s">
        <v>164</v>
      </c>
      <c r="G9" s="13">
        <v>44527</v>
      </c>
      <c r="H9" s="70" t="s">
        <v>165</v>
      </c>
      <c r="I9" s="16">
        <v>75</v>
      </c>
      <c r="J9" s="16">
        <v>42</v>
      </c>
      <c r="K9" s="16">
        <v>11</v>
      </c>
      <c r="L9" s="16">
        <v>10</v>
      </c>
      <c r="M9" s="73">
        <v>8.6624999999999996</v>
      </c>
      <c r="N9" s="88">
        <v>10</v>
      </c>
      <c r="O9" s="57">
        <v>7000</v>
      </c>
      <c r="P9" s="58">
        <f>Table2245789101123456789101112131415161720[[#This Row],[PEMBULATAN]]*O9</f>
        <v>70000</v>
      </c>
    </row>
    <row r="10" spans="1:16" ht="26.25" customHeight="1" x14ac:dyDescent="0.2">
      <c r="A10" s="14"/>
      <c r="B10" s="14"/>
      <c r="C10" s="66" t="s">
        <v>184</v>
      </c>
      <c r="D10" s="69" t="s">
        <v>59</v>
      </c>
      <c r="E10" s="13">
        <v>44528</v>
      </c>
      <c r="F10" s="69" t="s">
        <v>164</v>
      </c>
      <c r="G10" s="13">
        <v>44527</v>
      </c>
      <c r="H10" s="70" t="s">
        <v>165</v>
      </c>
      <c r="I10" s="16">
        <v>75</v>
      </c>
      <c r="J10" s="16">
        <v>42</v>
      </c>
      <c r="K10" s="16">
        <v>11</v>
      </c>
      <c r="L10" s="16">
        <v>10</v>
      </c>
      <c r="M10" s="73">
        <v>8.6624999999999996</v>
      </c>
      <c r="N10" s="88">
        <v>10</v>
      </c>
      <c r="O10" s="57">
        <v>7000</v>
      </c>
      <c r="P10" s="58">
        <f>Table2245789101123456789101112131415161720[[#This Row],[PEMBULATAN]]*O10</f>
        <v>70000</v>
      </c>
    </row>
    <row r="11" spans="1:16" ht="26.25" customHeight="1" x14ac:dyDescent="0.2">
      <c r="A11" s="14"/>
      <c r="B11" s="14"/>
      <c r="C11" s="66" t="s">
        <v>185</v>
      </c>
      <c r="D11" s="69" t="s">
        <v>59</v>
      </c>
      <c r="E11" s="13">
        <v>44528</v>
      </c>
      <c r="F11" s="69" t="s">
        <v>164</v>
      </c>
      <c r="G11" s="13">
        <v>44527</v>
      </c>
      <c r="H11" s="70" t="s">
        <v>165</v>
      </c>
      <c r="I11" s="16">
        <v>43</v>
      </c>
      <c r="J11" s="16">
        <v>33</v>
      </c>
      <c r="K11" s="16">
        <v>28</v>
      </c>
      <c r="L11" s="16">
        <v>9</v>
      </c>
      <c r="M11" s="73">
        <v>9.9329999999999998</v>
      </c>
      <c r="N11" s="88">
        <v>9.9329999999999998</v>
      </c>
      <c r="O11" s="57">
        <v>7000</v>
      </c>
      <c r="P11" s="58">
        <f>Table2245789101123456789101112131415161720[[#This Row],[PEMBULATAN]]*O11</f>
        <v>69531</v>
      </c>
    </row>
    <row r="12" spans="1:16" ht="22.5" customHeight="1" x14ac:dyDescent="0.2">
      <c r="A12" s="116" t="s">
        <v>30</v>
      </c>
      <c r="B12" s="117"/>
      <c r="C12" s="117"/>
      <c r="D12" s="117"/>
      <c r="E12" s="117"/>
      <c r="F12" s="117"/>
      <c r="G12" s="117"/>
      <c r="H12" s="117"/>
      <c r="I12" s="117"/>
      <c r="J12" s="117"/>
      <c r="K12" s="117"/>
      <c r="L12" s="118"/>
      <c r="M12" s="71">
        <f>SUBTOTAL(109,Table2245789101123456789101112131415161720[KG VOLUME])</f>
        <v>79.24799999999999</v>
      </c>
      <c r="N12" s="61">
        <f>SUM(N3:N11)</f>
        <v>104.733</v>
      </c>
      <c r="O12" s="119">
        <f>SUM(P3:P11)</f>
        <v>733131</v>
      </c>
      <c r="P12" s="120"/>
    </row>
    <row r="13" spans="1:16" ht="18" customHeight="1" x14ac:dyDescent="0.2">
      <c r="A13" s="78"/>
      <c r="B13" s="49" t="s">
        <v>42</v>
      </c>
      <c r="C13" s="48"/>
      <c r="D13" s="50" t="s">
        <v>43</v>
      </c>
      <c r="E13" s="78"/>
      <c r="F13" s="78"/>
      <c r="G13" s="78"/>
      <c r="H13" s="78"/>
      <c r="I13" s="78"/>
      <c r="J13" s="78"/>
      <c r="K13" s="78"/>
      <c r="L13" s="78"/>
      <c r="M13" s="79"/>
      <c r="N13" s="80" t="s">
        <v>51</v>
      </c>
      <c r="O13" s="81"/>
      <c r="P13" s="81">
        <f>O12*10%</f>
        <v>73313.100000000006</v>
      </c>
    </row>
    <row r="14" spans="1:16" ht="18" customHeight="1" thickBot="1" x14ac:dyDescent="0.25">
      <c r="A14" s="78"/>
      <c r="B14" s="49"/>
      <c r="C14" s="48"/>
      <c r="D14" s="50"/>
      <c r="E14" s="78"/>
      <c r="F14" s="78"/>
      <c r="G14" s="78"/>
      <c r="H14" s="78"/>
      <c r="I14" s="78"/>
      <c r="J14" s="78"/>
      <c r="K14" s="78"/>
      <c r="L14" s="78"/>
      <c r="M14" s="79"/>
      <c r="N14" s="82" t="s">
        <v>52</v>
      </c>
      <c r="O14" s="83"/>
      <c r="P14" s="83">
        <f>O12-P13</f>
        <v>659817.9</v>
      </c>
    </row>
    <row r="15" spans="1:16" ht="18" customHeight="1" x14ac:dyDescent="0.2">
      <c r="A15" s="11"/>
      <c r="H15" s="56"/>
      <c r="N15" s="55" t="s">
        <v>31</v>
      </c>
      <c r="P15" s="62">
        <f>P14*1%</f>
        <v>6598.1790000000001</v>
      </c>
    </row>
    <row r="16" spans="1:16" ht="18" customHeight="1" thickBot="1" x14ac:dyDescent="0.25">
      <c r="A16" s="11"/>
      <c r="H16" s="56"/>
      <c r="N16" s="55" t="s">
        <v>53</v>
      </c>
      <c r="P16" s="64">
        <f>P14*2%</f>
        <v>13196.358</v>
      </c>
    </row>
    <row r="17" spans="1:16" ht="18" customHeight="1" x14ac:dyDescent="0.2">
      <c r="A17" s="11"/>
      <c r="H17" s="56"/>
      <c r="N17" s="59" t="s">
        <v>32</v>
      </c>
      <c r="O17" s="60"/>
      <c r="P17" s="63">
        <f>P14+P15-P16</f>
        <v>653219.72100000002</v>
      </c>
    </row>
    <row r="19" spans="1:16" x14ac:dyDescent="0.2">
      <c r="A19" s="11"/>
      <c r="H19" s="56"/>
      <c r="P19" s="64"/>
    </row>
    <row r="20" spans="1:16" x14ac:dyDescent="0.2">
      <c r="A20" s="11"/>
      <c r="H20" s="56"/>
      <c r="O20" s="51"/>
      <c r="P20" s="64"/>
    </row>
    <row r="21" spans="1:16" s="3" customFormat="1" x14ac:dyDescent="0.25">
      <c r="A21" s="11"/>
      <c r="B21" s="2"/>
      <c r="C21" s="2"/>
      <c r="E21" s="12"/>
      <c r="H21" s="56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56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56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56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56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56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56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56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56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56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56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56"/>
      <c r="N32" s="15"/>
      <c r="O32" s="15"/>
      <c r="P32" s="15"/>
    </row>
  </sheetData>
  <mergeCells count="2">
    <mergeCell ref="A12:L12"/>
    <mergeCell ref="O12:P12"/>
  </mergeCells>
  <conditionalFormatting sqref="B3">
    <cfRule type="duplicateValues" dxfId="33" priority="2"/>
  </conditionalFormatting>
  <conditionalFormatting sqref="B4">
    <cfRule type="duplicateValues" dxfId="32" priority="1"/>
  </conditionalFormatting>
  <conditionalFormatting sqref="B5:B11">
    <cfRule type="duplicateValues" dxfId="31" priority="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C11" sqref="C11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75">
        <v>402444</v>
      </c>
      <c r="B3" s="67" t="s">
        <v>56</v>
      </c>
      <c r="C3" s="9" t="s">
        <v>57</v>
      </c>
      <c r="D3" s="69" t="s">
        <v>59</v>
      </c>
      <c r="E3" s="13">
        <v>44501</v>
      </c>
      <c r="F3" s="69" t="s">
        <v>60</v>
      </c>
      <c r="G3" s="13">
        <v>44508</v>
      </c>
      <c r="H3" s="10" t="s">
        <v>61</v>
      </c>
      <c r="I3" s="1">
        <v>41</v>
      </c>
      <c r="J3" s="1">
        <v>25</v>
      </c>
      <c r="K3" s="1">
        <v>13</v>
      </c>
      <c r="L3" s="1">
        <v>1</v>
      </c>
      <c r="M3" s="72">
        <v>3.3312499999999998</v>
      </c>
      <c r="N3" s="8">
        <v>4</v>
      </c>
      <c r="O3" s="57">
        <v>7000</v>
      </c>
      <c r="P3" s="58">
        <f>Table224578910112[[#This Row],[PEMBULATAN]]*O3</f>
        <v>28000</v>
      </c>
    </row>
    <row r="4" spans="1:16" ht="26.25" customHeight="1" x14ac:dyDescent="0.2">
      <c r="A4" s="14"/>
      <c r="B4" s="68"/>
      <c r="C4" s="9" t="s">
        <v>58</v>
      </c>
      <c r="D4" s="69" t="s">
        <v>59</v>
      </c>
      <c r="E4" s="13">
        <v>44501</v>
      </c>
      <c r="F4" s="69" t="s">
        <v>60</v>
      </c>
      <c r="G4" s="13">
        <v>44508</v>
      </c>
      <c r="H4" s="10" t="s">
        <v>61</v>
      </c>
      <c r="I4" s="1">
        <v>150</v>
      </c>
      <c r="J4" s="1">
        <v>65</v>
      </c>
      <c r="K4" s="1">
        <v>10</v>
      </c>
      <c r="L4" s="1">
        <v>13</v>
      </c>
      <c r="M4" s="72">
        <v>24.375</v>
      </c>
      <c r="N4" s="8">
        <v>25</v>
      </c>
      <c r="O4" s="57">
        <v>7000</v>
      </c>
      <c r="P4" s="58">
        <f>Table224578910112[[#This Row],[PEMBULATAN]]*O4</f>
        <v>175000</v>
      </c>
    </row>
    <row r="5" spans="1:16" ht="22.5" customHeight="1" x14ac:dyDescent="0.2">
      <c r="A5" s="116" t="s">
        <v>30</v>
      </c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8"/>
      <c r="M5" s="71">
        <f>SUBTOTAL(109,Table224578910112[KG VOLUME])</f>
        <v>27.706250000000001</v>
      </c>
      <c r="N5" s="61">
        <f>SUM(N3:N4)</f>
        <v>29</v>
      </c>
      <c r="O5" s="119">
        <f>SUM(P3:P4)</f>
        <v>203000</v>
      </c>
      <c r="P5" s="120"/>
    </row>
    <row r="6" spans="1:16" ht="18" customHeight="1" x14ac:dyDescent="0.2">
      <c r="A6" s="78"/>
      <c r="B6" s="49" t="s">
        <v>42</v>
      </c>
      <c r="C6" s="48"/>
      <c r="D6" s="50" t="s">
        <v>43</v>
      </c>
      <c r="E6" s="78"/>
      <c r="F6" s="78"/>
      <c r="G6" s="78"/>
      <c r="H6" s="78"/>
      <c r="I6" s="78"/>
      <c r="J6" s="78"/>
      <c r="K6" s="78"/>
      <c r="L6" s="78"/>
      <c r="M6" s="79"/>
      <c r="N6" s="80" t="s">
        <v>51</v>
      </c>
      <c r="O6" s="81"/>
      <c r="P6" s="81">
        <f>O5*10%</f>
        <v>20300</v>
      </c>
    </row>
    <row r="7" spans="1:16" ht="18" customHeight="1" thickBot="1" x14ac:dyDescent="0.25">
      <c r="A7" s="78"/>
      <c r="B7" s="49"/>
      <c r="C7" s="48"/>
      <c r="D7" s="50"/>
      <c r="E7" s="78"/>
      <c r="F7" s="78"/>
      <c r="G7" s="78"/>
      <c r="H7" s="78"/>
      <c r="I7" s="78"/>
      <c r="J7" s="78"/>
      <c r="K7" s="78"/>
      <c r="L7" s="78"/>
      <c r="M7" s="79"/>
      <c r="N7" s="82" t="s">
        <v>52</v>
      </c>
      <c r="O7" s="83"/>
      <c r="P7" s="83">
        <f>O5-P6</f>
        <v>182700</v>
      </c>
    </row>
    <row r="8" spans="1:16" ht="18" customHeight="1" x14ac:dyDescent="0.2">
      <c r="A8" s="11"/>
      <c r="H8" s="56"/>
      <c r="N8" s="55" t="s">
        <v>31</v>
      </c>
      <c r="P8" s="62">
        <f>P7*1%</f>
        <v>1827</v>
      </c>
    </row>
    <row r="9" spans="1:16" ht="18" customHeight="1" thickBot="1" x14ac:dyDescent="0.25">
      <c r="A9" s="11"/>
      <c r="H9" s="56"/>
      <c r="N9" s="55" t="s">
        <v>53</v>
      </c>
      <c r="P9" s="64">
        <f>P7*2%</f>
        <v>3654</v>
      </c>
    </row>
    <row r="10" spans="1:16" ht="18" customHeight="1" x14ac:dyDescent="0.2">
      <c r="A10" s="11"/>
      <c r="H10" s="56"/>
      <c r="N10" s="59" t="s">
        <v>32</v>
      </c>
      <c r="O10" s="60"/>
      <c r="P10" s="63">
        <f>P7+P8-P9</f>
        <v>180873</v>
      </c>
    </row>
    <row r="12" spans="1:16" x14ac:dyDescent="0.2">
      <c r="A12" s="11"/>
      <c r="H12" s="56"/>
      <c r="P12" s="64"/>
    </row>
    <row r="13" spans="1:16" x14ac:dyDescent="0.2">
      <c r="A13" s="11"/>
      <c r="H13" s="56"/>
      <c r="O13" s="51"/>
      <c r="P13" s="64"/>
    </row>
    <row r="14" spans="1:16" s="3" customFormat="1" x14ac:dyDescent="0.25">
      <c r="A14" s="11"/>
      <c r="B14" s="2"/>
      <c r="C14" s="2"/>
      <c r="E14" s="12"/>
      <c r="H14" s="56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56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56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56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56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56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56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56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56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56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56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56"/>
      <c r="N25" s="15"/>
      <c r="O25" s="15"/>
      <c r="P25" s="15"/>
    </row>
  </sheetData>
  <mergeCells count="2">
    <mergeCell ref="A5:L5"/>
    <mergeCell ref="O5:P5"/>
  </mergeCells>
  <conditionalFormatting sqref="B3">
    <cfRule type="duplicateValues" dxfId="327" priority="2"/>
  </conditionalFormatting>
  <conditionalFormatting sqref="B4">
    <cfRule type="duplicateValues" dxfId="326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5" sqref="O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75">
        <v>403741</v>
      </c>
      <c r="B3" s="67" t="s">
        <v>168</v>
      </c>
      <c r="C3" s="9" t="s">
        <v>169</v>
      </c>
      <c r="D3" s="69" t="s">
        <v>59</v>
      </c>
      <c r="E3" s="13">
        <v>44530</v>
      </c>
      <c r="F3" s="69" t="s">
        <v>164</v>
      </c>
      <c r="G3" s="13">
        <v>44535</v>
      </c>
      <c r="H3" s="10" t="s">
        <v>170</v>
      </c>
      <c r="I3" s="1">
        <v>150</v>
      </c>
      <c r="J3" s="1">
        <v>64</v>
      </c>
      <c r="K3" s="1">
        <v>11</v>
      </c>
      <c r="L3" s="1">
        <v>12</v>
      </c>
      <c r="M3" s="72">
        <v>26.4</v>
      </c>
      <c r="N3" s="8">
        <v>27</v>
      </c>
      <c r="O3" s="57">
        <v>7000</v>
      </c>
      <c r="P3" s="58">
        <f>Table224578910112345678910111213141516171819[[#This Row],[PEMBULATAN]]*O3</f>
        <v>189000</v>
      </c>
    </row>
    <row r="4" spans="1:16" ht="22.5" customHeight="1" x14ac:dyDescent="0.2">
      <c r="A4" s="116" t="s">
        <v>30</v>
      </c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8"/>
      <c r="M4" s="71">
        <f>SUBTOTAL(109,Table224578910112345678910111213141516171819[KG VOLUME])</f>
        <v>26.4</v>
      </c>
      <c r="N4" s="61">
        <f>SUM(N3:N3)</f>
        <v>27</v>
      </c>
      <c r="O4" s="119">
        <f>SUM(P3:P3)</f>
        <v>189000</v>
      </c>
      <c r="P4" s="120"/>
    </row>
    <row r="5" spans="1:16" ht="18" customHeight="1" x14ac:dyDescent="0.2">
      <c r="A5" s="78"/>
      <c r="B5" s="49" t="s">
        <v>42</v>
      </c>
      <c r="C5" s="48"/>
      <c r="D5" s="50" t="s">
        <v>43</v>
      </c>
      <c r="E5" s="78"/>
      <c r="F5" s="78"/>
      <c r="G5" s="78"/>
      <c r="H5" s="78"/>
      <c r="I5" s="78"/>
      <c r="J5" s="78"/>
      <c r="K5" s="78"/>
      <c r="L5" s="78"/>
      <c r="M5" s="79"/>
      <c r="N5" s="80" t="s">
        <v>51</v>
      </c>
      <c r="O5" s="81"/>
      <c r="P5" s="81">
        <f>O4*10%</f>
        <v>18900</v>
      </c>
    </row>
    <row r="6" spans="1:16" ht="18" customHeight="1" thickBot="1" x14ac:dyDescent="0.25">
      <c r="A6" s="78"/>
      <c r="B6" s="49"/>
      <c r="C6" s="48"/>
      <c r="D6" s="50"/>
      <c r="E6" s="78"/>
      <c r="F6" s="78"/>
      <c r="G6" s="78"/>
      <c r="H6" s="78"/>
      <c r="I6" s="78"/>
      <c r="J6" s="78"/>
      <c r="K6" s="78"/>
      <c r="L6" s="78"/>
      <c r="M6" s="79"/>
      <c r="N6" s="82" t="s">
        <v>52</v>
      </c>
      <c r="O6" s="83"/>
      <c r="P6" s="83">
        <f>O4-P5</f>
        <v>170100</v>
      </c>
    </row>
    <row r="7" spans="1:16" ht="18" customHeight="1" x14ac:dyDescent="0.2">
      <c r="A7" s="11"/>
      <c r="H7" s="56"/>
      <c r="N7" s="55" t="s">
        <v>31</v>
      </c>
      <c r="P7" s="62">
        <f>P6*1%</f>
        <v>1701</v>
      </c>
    </row>
    <row r="8" spans="1:16" ht="18" customHeight="1" thickBot="1" x14ac:dyDescent="0.25">
      <c r="A8" s="11"/>
      <c r="H8" s="56"/>
      <c r="N8" s="55" t="s">
        <v>53</v>
      </c>
      <c r="P8" s="64">
        <f>P6*2%</f>
        <v>3402</v>
      </c>
    </row>
    <row r="9" spans="1:16" ht="18" customHeight="1" x14ac:dyDescent="0.2">
      <c r="A9" s="11"/>
      <c r="H9" s="56"/>
      <c r="N9" s="59" t="s">
        <v>32</v>
      </c>
      <c r="O9" s="60"/>
      <c r="P9" s="63">
        <f>P6+P7-P8</f>
        <v>168399</v>
      </c>
    </row>
    <row r="11" spans="1:16" x14ac:dyDescent="0.2">
      <c r="A11" s="11"/>
      <c r="H11" s="56"/>
      <c r="P11" s="64"/>
    </row>
    <row r="12" spans="1:16" x14ac:dyDescent="0.2">
      <c r="A12" s="11"/>
      <c r="H12" s="56"/>
      <c r="O12" s="51"/>
      <c r="P12" s="64"/>
    </row>
    <row r="13" spans="1:16" s="3" customFormat="1" x14ac:dyDescent="0.25">
      <c r="A13" s="11"/>
      <c r="B13" s="2"/>
      <c r="C13" s="2"/>
      <c r="E13" s="12"/>
      <c r="H13" s="56"/>
      <c r="N13" s="15"/>
      <c r="O13" s="15"/>
      <c r="P13" s="15"/>
    </row>
    <row r="14" spans="1:16" s="3" customFormat="1" x14ac:dyDescent="0.25">
      <c r="A14" s="11"/>
      <c r="B14" s="2"/>
      <c r="C14" s="2"/>
      <c r="E14" s="12"/>
      <c r="H14" s="56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56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56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56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56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56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56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56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56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56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56"/>
      <c r="N24" s="15"/>
      <c r="O24" s="15"/>
      <c r="P24" s="15"/>
    </row>
  </sheetData>
  <mergeCells count="2">
    <mergeCell ref="A4:L4"/>
    <mergeCell ref="O4:P4"/>
  </mergeCells>
  <conditionalFormatting sqref="B3">
    <cfRule type="duplicateValues" dxfId="15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0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11" sqref="O11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8">
        <v>402449</v>
      </c>
      <c r="B3" s="67" t="s">
        <v>62</v>
      </c>
      <c r="C3" s="9" t="s">
        <v>63</v>
      </c>
      <c r="D3" s="69" t="s">
        <v>59</v>
      </c>
      <c r="E3" s="13">
        <v>44502</v>
      </c>
      <c r="F3" s="69" t="s">
        <v>60</v>
      </c>
      <c r="G3" s="13">
        <v>44508</v>
      </c>
      <c r="H3" s="10" t="s">
        <v>61</v>
      </c>
      <c r="I3" s="1">
        <v>75</v>
      </c>
      <c r="J3" s="1">
        <v>63</v>
      </c>
      <c r="K3" s="1">
        <v>42</v>
      </c>
      <c r="L3" s="1">
        <v>31</v>
      </c>
      <c r="M3" s="72">
        <v>49.612499999999997</v>
      </c>
      <c r="N3" s="88">
        <v>49.612499999999997</v>
      </c>
      <c r="O3" s="57">
        <v>7000</v>
      </c>
      <c r="P3" s="58">
        <f>Table2245789101123[[#This Row],[PEMBULATAN]]*O3</f>
        <v>347287.5</v>
      </c>
    </row>
    <row r="4" spans="1:16" ht="26.25" customHeight="1" x14ac:dyDescent="0.2">
      <c r="A4" s="14"/>
      <c r="B4" s="68"/>
      <c r="C4" s="9" t="s">
        <v>64</v>
      </c>
      <c r="D4" s="69" t="s">
        <v>59</v>
      </c>
      <c r="E4" s="13">
        <v>44502</v>
      </c>
      <c r="F4" s="69" t="s">
        <v>60</v>
      </c>
      <c r="G4" s="13">
        <v>44508</v>
      </c>
      <c r="H4" s="10" t="s">
        <v>61</v>
      </c>
      <c r="I4" s="1">
        <v>75</v>
      </c>
      <c r="J4" s="1">
        <v>63</v>
      </c>
      <c r="K4" s="1">
        <v>42</v>
      </c>
      <c r="L4" s="1">
        <v>31</v>
      </c>
      <c r="M4" s="72">
        <v>49.612499999999997</v>
      </c>
      <c r="N4" s="88">
        <v>49.612499999999997</v>
      </c>
      <c r="O4" s="57">
        <v>7000</v>
      </c>
      <c r="P4" s="58">
        <f>Table2245789101123[[#This Row],[PEMBULATAN]]*O4</f>
        <v>347287.5</v>
      </c>
    </row>
    <row r="5" spans="1:16" ht="26.25" customHeight="1" x14ac:dyDescent="0.2">
      <c r="A5" s="14"/>
      <c r="B5" s="14"/>
      <c r="C5" s="9" t="s">
        <v>65</v>
      </c>
      <c r="D5" s="69" t="s">
        <v>59</v>
      </c>
      <c r="E5" s="13">
        <v>44502</v>
      </c>
      <c r="F5" s="69" t="s">
        <v>60</v>
      </c>
      <c r="G5" s="13">
        <v>44508</v>
      </c>
      <c r="H5" s="10" t="s">
        <v>61</v>
      </c>
      <c r="I5" s="1">
        <v>75</v>
      </c>
      <c r="J5" s="1">
        <v>63</v>
      </c>
      <c r="K5" s="1">
        <v>42</v>
      </c>
      <c r="L5" s="1">
        <v>31</v>
      </c>
      <c r="M5" s="72">
        <v>49.612499999999997</v>
      </c>
      <c r="N5" s="88">
        <v>49.612499999999997</v>
      </c>
      <c r="O5" s="57">
        <v>7000</v>
      </c>
      <c r="P5" s="58">
        <f>Table2245789101123[[#This Row],[PEMBULATAN]]*O5</f>
        <v>347287.5</v>
      </c>
    </row>
    <row r="6" spans="1:16" ht="26.25" customHeight="1" x14ac:dyDescent="0.2">
      <c r="A6" s="14"/>
      <c r="B6" s="14"/>
      <c r="C6" s="66" t="s">
        <v>66</v>
      </c>
      <c r="D6" s="69" t="s">
        <v>59</v>
      </c>
      <c r="E6" s="13">
        <v>44502</v>
      </c>
      <c r="F6" s="69" t="s">
        <v>60</v>
      </c>
      <c r="G6" s="13">
        <v>44508</v>
      </c>
      <c r="H6" s="70" t="s">
        <v>61</v>
      </c>
      <c r="I6" s="16">
        <v>75</v>
      </c>
      <c r="J6" s="16">
        <v>63</v>
      </c>
      <c r="K6" s="16">
        <v>42</v>
      </c>
      <c r="L6" s="16">
        <v>31</v>
      </c>
      <c r="M6" s="73">
        <v>49.612499999999997</v>
      </c>
      <c r="N6" s="88">
        <v>49.612499999999997</v>
      </c>
      <c r="O6" s="57">
        <v>7000</v>
      </c>
      <c r="P6" s="58">
        <f>Table2245789101123[[#This Row],[PEMBULATAN]]*O6</f>
        <v>347287.5</v>
      </c>
    </row>
    <row r="7" spans="1:16" ht="26.25" customHeight="1" x14ac:dyDescent="0.2">
      <c r="A7" s="14"/>
      <c r="B7" s="14"/>
      <c r="C7" s="66" t="s">
        <v>67</v>
      </c>
      <c r="D7" s="69" t="s">
        <v>59</v>
      </c>
      <c r="E7" s="13">
        <v>44502</v>
      </c>
      <c r="F7" s="69" t="s">
        <v>60</v>
      </c>
      <c r="G7" s="13">
        <v>44508</v>
      </c>
      <c r="H7" s="70" t="s">
        <v>61</v>
      </c>
      <c r="I7" s="16">
        <v>75</v>
      </c>
      <c r="J7" s="16">
        <v>63</v>
      </c>
      <c r="K7" s="16">
        <v>42</v>
      </c>
      <c r="L7" s="16">
        <v>31</v>
      </c>
      <c r="M7" s="73">
        <v>49.612499999999997</v>
      </c>
      <c r="N7" s="88">
        <v>49.612499999999997</v>
      </c>
      <c r="O7" s="57">
        <v>7000</v>
      </c>
      <c r="P7" s="58">
        <f>Table2245789101123[[#This Row],[PEMBULATAN]]*O7</f>
        <v>347287.5</v>
      </c>
    </row>
    <row r="8" spans="1:16" ht="26.25" customHeight="1" x14ac:dyDescent="0.2">
      <c r="A8" s="14"/>
      <c r="B8" s="97"/>
      <c r="C8" s="66" t="s">
        <v>68</v>
      </c>
      <c r="D8" s="69" t="s">
        <v>59</v>
      </c>
      <c r="E8" s="13">
        <v>44502</v>
      </c>
      <c r="F8" s="69" t="s">
        <v>60</v>
      </c>
      <c r="G8" s="13">
        <v>44508</v>
      </c>
      <c r="H8" s="70" t="s">
        <v>61</v>
      </c>
      <c r="I8" s="16">
        <v>75</v>
      </c>
      <c r="J8" s="16">
        <v>63</v>
      </c>
      <c r="K8" s="16">
        <v>42</v>
      </c>
      <c r="L8" s="16">
        <v>31</v>
      </c>
      <c r="M8" s="73">
        <v>49.612499999999997</v>
      </c>
      <c r="N8" s="88">
        <v>49.612499999999997</v>
      </c>
      <c r="O8" s="57">
        <v>7000</v>
      </c>
      <c r="P8" s="58">
        <f>Table2245789101123[[#This Row],[PEMBULATAN]]*O8</f>
        <v>347287.5</v>
      </c>
    </row>
    <row r="9" spans="1:16" ht="26.25" customHeight="1" x14ac:dyDescent="0.2">
      <c r="A9" s="14"/>
      <c r="B9" s="14" t="s">
        <v>69</v>
      </c>
      <c r="C9" s="66" t="s">
        <v>70</v>
      </c>
      <c r="D9" s="69" t="s">
        <v>59</v>
      </c>
      <c r="E9" s="13">
        <v>44502</v>
      </c>
      <c r="F9" s="69" t="s">
        <v>60</v>
      </c>
      <c r="G9" s="13">
        <v>44508</v>
      </c>
      <c r="H9" s="70" t="s">
        <v>61</v>
      </c>
      <c r="I9" s="16">
        <v>75</v>
      </c>
      <c r="J9" s="16">
        <v>63</v>
      </c>
      <c r="K9" s="16">
        <v>42</v>
      </c>
      <c r="L9" s="16">
        <v>31</v>
      </c>
      <c r="M9" s="73">
        <v>49.612499999999997</v>
      </c>
      <c r="N9" s="88">
        <v>49.612499999999997</v>
      </c>
      <c r="O9" s="57">
        <v>7000</v>
      </c>
      <c r="P9" s="58">
        <f>Table2245789101123[[#This Row],[PEMBULATAN]]*O9</f>
        <v>347287.5</v>
      </c>
    </row>
    <row r="10" spans="1:16" ht="22.5" customHeight="1" x14ac:dyDescent="0.2">
      <c r="A10" s="116" t="s">
        <v>30</v>
      </c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8"/>
      <c r="M10" s="71">
        <f>SUBTOTAL(109,Table2245789101123[KG VOLUME])</f>
        <v>347.28750000000002</v>
      </c>
      <c r="N10" s="61">
        <f>SUM(N3:N9)</f>
        <v>347.28750000000002</v>
      </c>
      <c r="O10" s="119">
        <f>SUM(P3:P9)</f>
        <v>2431012.5</v>
      </c>
      <c r="P10" s="120"/>
    </row>
    <row r="11" spans="1:16" ht="18" customHeight="1" x14ac:dyDescent="0.2">
      <c r="A11" s="78"/>
      <c r="B11" s="49" t="s">
        <v>42</v>
      </c>
      <c r="C11" s="48"/>
      <c r="D11" s="50" t="s">
        <v>43</v>
      </c>
      <c r="E11" s="78"/>
      <c r="F11" s="78"/>
      <c r="G11" s="78"/>
      <c r="H11" s="78"/>
      <c r="I11" s="78"/>
      <c r="J11" s="78"/>
      <c r="K11" s="78"/>
      <c r="L11" s="78"/>
      <c r="M11" s="79"/>
      <c r="N11" s="80" t="s">
        <v>51</v>
      </c>
      <c r="O11" s="81"/>
      <c r="P11" s="81">
        <f>O10*10%</f>
        <v>243101.25</v>
      </c>
    </row>
    <row r="12" spans="1:16" ht="18" customHeight="1" thickBot="1" x14ac:dyDescent="0.25">
      <c r="A12" s="78"/>
      <c r="B12" s="49"/>
      <c r="C12" s="48"/>
      <c r="D12" s="50"/>
      <c r="E12" s="78"/>
      <c r="F12" s="78"/>
      <c r="G12" s="78"/>
      <c r="H12" s="78"/>
      <c r="I12" s="78"/>
      <c r="J12" s="78"/>
      <c r="K12" s="78"/>
      <c r="L12" s="78"/>
      <c r="M12" s="79"/>
      <c r="N12" s="82" t="s">
        <v>52</v>
      </c>
      <c r="O12" s="83"/>
      <c r="P12" s="83">
        <f>O10-P11</f>
        <v>2187911.25</v>
      </c>
    </row>
    <row r="13" spans="1:16" ht="18" customHeight="1" x14ac:dyDescent="0.2">
      <c r="A13" s="11"/>
      <c r="H13" s="56"/>
      <c r="N13" s="55" t="s">
        <v>31</v>
      </c>
      <c r="P13" s="62">
        <f>P12*1%</f>
        <v>21879.112499999999</v>
      </c>
    </row>
    <row r="14" spans="1:16" ht="18" customHeight="1" thickBot="1" x14ac:dyDescent="0.25">
      <c r="A14" s="11"/>
      <c r="H14" s="56"/>
      <c r="N14" s="55" t="s">
        <v>53</v>
      </c>
      <c r="P14" s="64">
        <f>P12*2%</f>
        <v>43758.224999999999</v>
      </c>
    </row>
    <row r="15" spans="1:16" ht="18" customHeight="1" x14ac:dyDescent="0.2">
      <c r="A15" s="11"/>
      <c r="H15" s="56"/>
      <c r="N15" s="59" t="s">
        <v>32</v>
      </c>
      <c r="O15" s="60"/>
      <c r="P15" s="63">
        <f>P12+P13-P14</f>
        <v>2166032.1374999997</v>
      </c>
    </row>
    <row r="17" spans="1:16" x14ac:dyDescent="0.2">
      <c r="A17" s="11"/>
      <c r="H17" s="56"/>
      <c r="P17" s="64"/>
    </row>
    <row r="18" spans="1:16" x14ac:dyDescent="0.2">
      <c r="A18" s="11"/>
      <c r="H18" s="56"/>
      <c r="O18" s="51"/>
      <c r="P18" s="64"/>
    </row>
    <row r="19" spans="1:16" s="3" customFormat="1" x14ac:dyDescent="0.25">
      <c r="A19" s="11"/>
      <c r="B19" s="2"/>
      <c r="C19" s="2"/>
      <c r="E19" s="12"/>
      <c r="H19" s="56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56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56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56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56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56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56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56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56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56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56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56"/>
      <c r="N30" s="15"/>
      <c r="O30" s="15"/>
      <c r="P30" s="15"/>
    </row>
  </sheetData>
  <mergeCells count="2">
    <mergeCell ref="A10:L10"/>
    <mergeCell ref="O10:P10"/>
  </mergeCells>
  <conditionalFormatting sqref="B3">
    <cfRule type="duplicateValues" dxfId="310" priority="2"/>
  </conditionalFormatting>
  <conditionalFormatting sqref="B4">
    <cfRule type="duplicateValues" dxfId="309" priority="1"/>
  </conditionalFormatting>
  <conditionalFormatting sqref="B5:B9">
    <cfRule type="duplicateValues" dxfId="308" priority="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0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A10" sqref="A10:L1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75">
        <v>402323</v>
      </c>
      <c r="B3" s="67" t="s">
        <v>71</v>
      </c>
      <c r="C3" s="9" t="s">
        <v>72</v>
      </c>
      <c r="D3" s="69" t="s">
        <v>59</v>
      </c>
      <c r="E3" s="13">
        <v>44503</v>
      </c>
      <c r="F3" s="69" t="s">
        <v>60</v>
      </c>
      <c r="G3" s="13">
        <v>44508</v>
      </c>
      <c r="H3" s="10" t="s">
        <v>61</v>
      </c>
      <c r="I3" s="1">
        <v>62</v>
      </c>
      <c r="J3" s="1">
        <v>42</v>
      </c>
      <c r="K3" s="1">
        <v>76</v>
      </c>
      <c r="L3" s="1">
        <v>31</v>
      </c>
      <c r="M3" s="72">
        <v>49.475999999999999</v>
      </c>
      <c r="N3" s="8">
        <v>50</v>
      </c>
      <c r="O3" s="57">
        <v>7000</v>
      </c>
      <c r="P3" s="58">
        <f>Table22457891011234[[#This Row],[PEMBULATAN]]*O3</f>
        <v>350000</v>
      </c>
    </row>
    <row r="4" spans="1:16" ht="26.25" customHeight="1" x14ac:dyDescent="0.2">
      <c r="A4" s="14"/>
      <c r="B4" s="68"/>
      <c r="C4" s="9" t="s">
        <v>73</v>
      </c>
      <c r="D4" s="69" t="s">
        <v>59</v>
      </c>
      <c r="E4" s="13">
        <v>44503</v>
      </c>
      <c r="F4" s="69" t="s">
        <v>60</v>
      </c>
      <c r="G4" s="13">
        <v>44508</v>
      </c>
      <c r="H4" s="10" t="s">
        <v>61</v>
      </c>
      <c r="I4" s="1">
        <v>62</v>
      </c>
      <c r="J4" s="1">
        <v>42</v>
      </c>
      <c r="K4" s="1">
        <v>76</v>
      </c>
      <c r="L4" s="1">
        <v>31</v>
      </c>
      <c r="M4" s="72">
        <v>49.475999999999999</v>
      </c>
      <c r="N4" s="8">
        <v>50</v>
      </c>
      <c r="O4" s="57">
        <v>7000</v>
      </c>
      <c r="P4" s="58">
        <f>Table22457891011234[[#This Row],[PEMBULATAN]]*O4</f>
        <v>350000</v>
      </c>
    </row>
    <row r="5" spans="1:16" ht="26.25" customHeight="1" x14ac:dyDescent="0.2">
      <c r="A5" s="14"/>
      <c r="B5" s="14"/>
      <c r="C5" s="9" t="s">
        <v>74</v>
      </c>
      <c r="D5" s="69" t="s">
        <v>59</v>
      </c>
      <c r="E5" s="13">
        <v>44503</v>
      </c>
      <c r="F5" s="69" t="s">
        <v>60</v>
      </c>
      <c r="G5" s="13">
        <v>44508</v>
      </c>
      <c r="H5" s="10" t="s">
        <v>61</v>
      </c>
      <c r="I5" s="1">
        <v>62</v>
      </c>
      <c r="J5" s="1">
        <v>42</v>
      </c>
      <c r="K5" s="1">
        <v>76</v>
      </c>
      <c r="L5" s="1">
        <v>31</v>
      </c>
      <c r="M5" s="72">
        <v>49.475999999999999</v>
      </c>
      <c r="N5" s="8">
        <v>50</v>
      </c>
      <c r="O5" s="57">
        <v>7000</v>
      </c>
      <c r="P5" s="58">
        <f>Table22457891011234[[#This Row],[PEMBULATAN]]*O5</f>
        <v>350000</v>
      </c>
    </row>
    <row r="6" spans="1:16" ht="26.25" customHeight="1" x14ac:dyDescent="0.2">
      <c r="A6" s="14"/>
      <c r="B6" s="14"/>
      <c r="C6" s="66" t="s">
        <v>75</v>
      </c>
      <c r="D6" s="69" t="s">
        <v>59</v>
      </c>
      <c r="E6" s="13">
        <v>44503</v>
      </c>
      <c r="F6" s="69" t="s">
        <v>60</v>
      </c>
      <c r="G6" s="13">
        <v>44508</v>
      </c>
      <c r="H6" s="70" t="s">
        <v>61</v>
      </c>
      <c r="I6" s="16">
        <v>62</v>
      </c>
      <c r="J6" s="16">
        <v>42</v>
      </c>
      <c r="K6" s="16">
        <v>76</v>
      </c>
      <c r="L6" s="16">
        <v>31</v>
      </c>
      <c r="M6" s="73">
        <v>49.475999999999999</v>
      </c>
      <c r="N6" s="65">
        <v>50</v>
      </c>
      <c r="O6" s="57">
        <v>7000</v>
      </c>
      <c r="P6" s="58">
        <f>Table22457891011234[[#This Row],[PEMBULATAN]]*O6</f>
        <v>350000</v>
      </c>
    </row>
    <row r="7" spans="1:16" ht="26.25" customHeight="1" x14ac:dyDescent="0.2">
      <c r="A7" s="14"/>
      <c r="B7" s="14"/>
      <c r="C7" s="66" t="s">
        <v>76</v>
      </c>
      <c r="D7" s="69" t="s">
        <v>59</v>
      </c>
      <c r="E7" s="13">
        <v>44503</v>
      </c>
      <c r="F7" s="69" t="s">
        <v>60</v>
      </c>
      <c r="G7" s="13">
        <v>44508</v>
      </c>
      <c r="H7" s="70" t="s">
        <v>61</v>
      </c>
      <c r="I7" s="16">
        <v>62</v>
      </c>
      <c r="J7" s="16">
        <v>42</v>
      </c>
      <c r="K7" s="16">
        <v>76</v>
      </c>
      <c r="L7" s="16">
        <v>31</v>
      </c>
      <c r="M7" s="73">
        <v>49.475999999999999</v>
      </c>
      <c r="N7" s="65">
        <v>50</v>
      </c>
      <c r="O7" s="57">
        <v>7000</v>
      </c>
      <c r="P7" s="58">
        <f>Table22457891011234[[#This Row],[PEMBULATAN]]*O7</f>
        <v>350000</v>
      </c>
    </row>
    <row r="8" spans="1:16" ht="26.25" customHeight="1" x14ac:dyDescent="0.2">
      <c r="A8" s="14"/>
      <c r="B8" s="14"/>
      <c r="C8" s="66" t="s">
        <v>77</v>
      </c>
      <c r="D8" s="69" t="s">
        <v>59</v>
      </c>
      <c r="E8" s="13">
        <v>44503</v>
      </c>
      <c r="F8" s="69" t="s">
        <v>60</v>
      </c>
      <c r="G8" s="13">
        <v>44508</v>
      </c>
      <c r="H8" s="70" t="s">
        <v>61</v>
      </c>
      <c r="I8" s="16">
        <v>62</v>
      </c>
      <c r="J8" s="16">
        <v>42</v>
      </c>
      <c r="K8" s="16">
        <v>76</v>
      </c>
      <c r="L8" s="16">
        <v>31</v>
      </c>
      <c r="M8" s="73">
        <v>49.475999999999999</v>
      </c>
      <c r="N8" s="65">
        <v>50</v>
      </c>
      <c r="O8" s="57">
        <v>7000</v>
      </c>
      <c r="P8" s="58">
        <f>Table22457891011234[[#This Row],[PEMBULATAN]]*O8</f>
        <v>350000</v>
      </c>
    </row>
    <row r="9" spans="1:16" ht="26.25" customHeight="1" x14ac:dyDescent="0.2">
      <c r="A9" s="14"/>
      <c r="B9" s="14"/>
      <c r="C9" s="66" t="s">
        <v>78</v>
      </c>
      <c r="D9" s="69" t="s">
        <v>59</v>
      </c>
      <c r="E9" s="13">
        <v>44503</v>
      </c>
      <c r="F9" s="69" t="s">
        <v>60</v>
      </c>
      <c r="G9" s="13">
        <v>44508</v>
      </c>
      <c r="H9" s="70" t="s">
        <v>61</v>
      </c>
      <c r="I9" s="16">
        <v>11</v>
      </c>
      <c r="J9" s="16">
        <v>10</v>
      </c>
      <c r="K9" s="16">
        <v>9</v>
      </c>
      <c r="L9" s="16">
        <v>1</v>
      </c>
      <c r="M9" s="73">
        <v>0.2475</v>
      </c>
      <c r="N9" s="65">
        <v>1</v>
      </c>
      <c r="O9" s="57">
        <v>7000</v>
      </c>
      <c r="P9" s="58">
        <f>Table22457891011234[[#This Row],[PEMBULATAN]]*O9</f>
        <v>7000</v>
      </c>
    </row>
    <row r="10" spans="1:16" ht="22.5" customHeight="1" x14ac:dyDescent="0.2">
      <c r="A10" s="116" t="s">
        <v>30</v>
      </c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8"/>
      <c r="M10" s="71">
        <f>SUBTOTAL(109,Table22457891011234[KG VOLUME])</f>
        <v>297.1035</v>
      </c>
      <c r="N10" s="61">
        <f>SUM(N3:N9)</f>
        <v>301</v>
      </c>
      <c r="O10" s="119">
        <f>SUM(P3:P9)</f>
        <v>2107000</v>
      </c>
      <c r="P10" s="120"/>
    </row>
    <row r="11" spans="1:16" ht="18" customHeight="1" x14ac:dyDescent="0.2">
      <c r="A11" s="78"/>
      <c r="B11" s="49" t="s">
        <v>42</v>
      </c>
      <c r="C11" s="48"/>
      <c r="D11" s="50" t="s">
        <v>43</v>
      </c>
      <c r="E11" s="78"/>
      <c r="F11" s="78"/>
      <c r="G11" s="78"/>
      <c r="H11" s="78"/>
      <c r="I11" s="78"/>
      <c r="J11" s="78"/>
      <c r="K11" s="78"/>
      <c r="L11" s="78"/>
      <c r="M11" s="79"/>
      <c r="N11" s="80" t="s">
        <v>51</v>
      </c>
      <c r="O11" s="81"/>
      <c r="P11" s="81">
        <f>O10*10%</f>
        <v>210700</v>
      </c>
    </row>
    <row r="12" spans="1:16" ht="18" customHeight="1" thickBot="1" x14ac:dyDescent="0.25">
      <c r="A12" s="78"/>
      <c r="B12" s="49"/>
      <c r="C12" s="48"/>
      <c r="D12" s="50"/>
      <c r="E12" s="78"/>
      <c r="F12" s="78"/>
      <c r="G12" s="78"/>
      <c r="H12" s="78"/>
      <c r="I12" s="78"/>
      <c r="J12" s="78"/>
      <c r="K12" s="78"/>
      <c r="L12" s="78"/>
      <c r="M12" s="79"/>
      <c r="N12" s="82" t="s">
        <v>52</v>
      </c>
      <c r="O12" s="83"/>
      <c r="P12" s="83">
        <f>O10-P11</f>
        <v>1896300</v>
      </c>
    </row>
    <row r="13" spans="1:16" ht="18" customHeight="1" x14ac:dyDescent="0.2">
      <c r="A13" s="11"/>
      <c r="H13" s="56"/>
      <c r="N13" s="55" t="s">
        <v>31</v>
      </c>
      <c r="P13" s="62">
        <f>P12*1%</f>
        <v>18963</v>
      </c>
    </row>
    <row r="14" spans="1:16" ht="18" customHeight="1" thickBot="1" x14ac:dyDescent="0.25">
      <c r="A14" s="11"/>
      <c r="H14" s="56"/>
      <c r="N14" s="55" t="s">
        <v>53</v>
      </c>
      <c r="P14" s="64">
        <f>P12*2%</f>
        <v>37926</v>
      </c>
    </row>
    <row r="15" spans="1:16" ht="18" customHeight="1" x14ac:dyDescent="0.2">
      <c r="A15" s="11"/>
      <c r="H15" s="56"/>
      <c r="N15" s="59" t="s">
        <v>32</v>
      </c>
      <c r="O15" s="60"/>
      <c r="P15" s="63">
        <f>P12+P13-P14</f>
        <v>1877337</v>
      </c>
    </row>
    <row r="17" spans="1:16" x14ac:dyDescent="0.2">
      <c r="A17" s="11"/>
      <c r="H17" s="56"/>
      <c r="P17" s="64"/>
    </row>
    <row r="18" spans="1:16" x14ac:dyDescent="0.2">
      <c r="A18" s="11"/>
      <c r="H18" s="56"/>
      <c r="O18" s="51"/>
      <c r="P18" s="64"/>
    </row>
    <row r="19" spans="1:16" s="3" customFormat="1" x14ac:dyDescent="0.25">
      <c r="A19" s="11"/>
      <c r="B19" s="2"/>
      <c r="C19" s="2"/>
      <c r="E19" s="12"/>
      <c r="H19" s="56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56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56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56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56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56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56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56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56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56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56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56"/>
      <c r="N30" s="15"/>
      <c r="O30" s="15"/>
      <c r="P30" s="15"/>
    </row>
  </sheetData>
  <mergeCells count="2">
    <mergeCell ref="A10:L10"/>
    <mergeCell ref="O10:P10"/>
  </mergeCells>
  <conditionalFormatting sqref="B3">
    <cfRule type="duplicateValues" dxfId="292" priority="2"/>
  </conditionalFormatting>
  <conditionalFormatting sqref="B4">
    <cfRule type="duplicateValues" dxfId="291" priority="1"/>
  </conditionalFormatting>
  <conditionalFormatting sqref="B5:B9">
    <cfRule type="duplicateValues" dxfId="290" priority="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L12" sqref="L1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75">
        <v>403328</v>
      </c>
      <c r="B3" s="67" t="s">
        <v>79</v>
      </c>
      <c r="C3" s="9" t="s">
        <v>80</v>
      </c>
      <c r="D3" s="69" t="s">
        <v>59</v>
      </c>
      <c r="E3" s="13">
        <v>44504</v>
      </c>
      <c r="F3" s="69" t="s">
        <v>81</v>
      </c>
      <c r="G3" s="13">
        <v>44512</v>
      </c>
      <c r="H3" s="10" t="s">
        <v>82</v>
      </c>
      <c r="I3" s="1">
        <v>25</v>
      </c>
      <c r="J3" s="1">
        <v>21</v>
      </c>
      <c r="K3" s="1">
        <v>15</v>
      </c>
      <c r="L3" s="1">
        <v>1</v>
      </c>
      <c r="M3" s="72">
        <v>1.96875</v>
      </c>
      <c r="N3" s="88">
        <v>1.96875</v>
      </c>
      <c r="O3" s="57">
        <v>7000</v>
      </c>
      <c r="P3" s="58">
        <f>Table224578910112345[[#This Row],[PEMBULATAN]]*O3</f>
        <v>13781.25</v>
      </c>
    </row>
    <row r="4" spans="1:16" ht="22.5" customHeight="1" x14ac:dyDescent="0.2">
      <c r="A4" s="116" t="s">
        <v>30</v>
      </c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8"/>
      <c r="M4" s="71">
        <f>SUBTOTAL(109,Table224578910112345[KG VOLUME])</f>
        <v>1.96875</v>
      </c>
      <c r="N4" s="61">
        <f>SUM(N3:N3)</f>
        <v>1.96875</v>
      </c>
      <c r="O4" s="119">
        <f>SUM(P3:P3)</f>
        <v>13781.25</v>
      </c>
      <c r="P4" s="120"/>
    </row>
    <row r="5" spans="1:16" ht="18" customHeight="1" x14ac:dyDescent="0.2">
      <c r="A5" s="78"/>
      <c r="B5" s="49" t="s">
        <v>42</v>
      </c>
      <c r="C5" s="48"/>
      <c r="D5" s="50" t="s">
        <v>43</v>
      </c>
      <c r="E5" s="78"/>
      <c r="F5" s="78"/>
      <c r="G5" s="78"/>
      <c r="H5" s="78"/>
      <c r="I5" s="78"/>
      <c r="J5" s="78"/>
      <c r="K5" s="78"/>
      <c r="L5" s="78"/>
      <c r="M5" s="79"/>
      <c r="N5" s="80" t="s">
        <v>51</v>
      </c>
      <c r="O5" s="81"/>
      <c r="P5" s="81">
        <f>O4*10%</f>
        <v>1378.125</v>
      </c>
    </row>
    <row r="6" spans="1:16" ht="18" customHeight="1" thickBot="1" x14ac:dyDescent="0.25">
      <c r="A6" s="78"/>
      <c r="B6" s="49"/>
      <c r="C6" s="48"/>
      <c r="D6" s="50"/>
      <c r="E6" s="78"/>
      <c r="F6" s="78"/>
      <c r="G6" s="78"/>
      <c r="H6" s="78"/>
      <c r="I6" s="78"/>
      <c r="J6" s="78"/>
      <c r="K6" s="78"/>
      <c r="L6" s="78"/>
      <c r="M6" s="79"/>
      <c r="N6" s="82" t="s">
        <v>52</v>
      </c>
      <c r="O6" s="83"/>
      <c r="P6" s="83">
        <f>O4-P5</f>
        <v>12403.125</v>
      </c>
    </row>
    <row r="7" spans="1:16" ht="18" customHeight="1" x14ac:dyDescent="0.2">
      <c r="A7" s="11"/>
      <c r="H7" s="56"/>
      <c r="N7" s="55" t="s">
        <v>31</v>
      </c>
      <c r="P7" s="62">
        <f>P6*1%</f>
        <v>124.03125</v>
      </c>
    </row>
    <row r="8" spans="1:16" ht="18" customHeight="1" thickBot="1" x14ac:dyDescent="0.25">
      <c r="A8" s="11"/>
      <c r="H8" s="56"/>
      <c r="N8" s="55" t="s">
        <v>53</v>
      </c>
      <c r="P8" s="64">
        <f>P6*2%</f>
        <v>248.0625</v>
      </c>
    </row>
    <row r="9" spans="1:16" ht="18" customHeight="1" x14ac:dyDescent="0.2">
      <c r="A9" s="11"/>
      <c r="H9" s="56"/>
      <c r="N9" s="59" t="s">
        <v>32</v>
      </c>
      <c r="O9" s="60"/>
      <c r="P9" s="63">
        <f>P6+P7-P8</f>
        <v>12279.09375</v>
      </c>
    </row>
    <row r="11" spans="1:16" x14ac:dyDescent="0.2">
      <c r="A11" s="11"/>
      <c r="H11" s="56"/>
      <c r="P11" s="64"/>
    </row>
    <row r="12" spans="1:16" x14ac:dyDescent="0.2">
      <c r="A12" s="11"/>
      <c r="H12" s="56"/>
      <c r="O12" s="51"/>
      <c r="P12" s="64"/>
    </row>
    <row r="13" spans="1:16" s="3" customFormat="1" x14ac:dyDescent="0.25">
      <c r="A13" s="11"/>
      <c r="B13" s="2"/>
      <c r="C13" s="2"/>
      <c r="E13" s="12"/>
      <c r="H13" s="56"/>
      <c r="N13" s="15"/>
      <c r="O13" s="15"/>
      <c r="P13" s="15"/>
    </row>
    <row r="14" spans="1:16" s="3" customFormat="1" x14ac:dyDescent="0.25">
      <c r="A14" s="11"/>
      <c r="B14" s="2"/>
      <c r="C14" s="2"/>
      <c r="E14" s="12"/>
      <c r="H14" s="56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56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56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56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56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56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56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56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56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56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56"/>
      <c r="N24" s="15"/>
      <c r="O24" s="15"/>
      <c r="P24" s="15"/>
    </row>
  </sheetData>
  <mergeCells count="2">
    <mergeCell ref="A4:L4"/>
    <mergeCell ref="O4:P4"/>
  </mergeCells>
  <conditionalFormatting sqref="B3">
    <cfRule type="duplicateValues" dxfId="274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6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7" sqref="O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75">
        <v>402336</v>
      </c>
      <c r="B3" s="67" t="s">
        <v>83</v>
      </c>
      <c r="C3" s="9" t="s">
        <v>84</v>
      </c>
      <c r="D3" s="69" t="s">
        <v>59</v>
      </c>
      <c r="E3" s="13">
        <v>44506</v>
      </c>
      <c r="F3" s="69" t="s">
        <v>81</v>
      </c>
      <c r="G3" s="13">
        <v>44512</v>
      </c>
      <c r="H3" s="10" t="s">
        <v>87</v>
      </c>
      <c r="I3" s="1">
        <v>84</v>
      </c>
      <c r="J3" s="1">
        <v>84</v>
      </c>
      <c r="K3" s="1">
        <v>20</v>
      </c>
      <c r="L3" s="1">
        <v>3</v>
      </c>
      <c r="M3" s="72">
        <v>35.28</v>
      </c>
      <c r="N3" s="88">
        <v>35.28</v>
      </c>
      <c r="O3" s="57">
        <v>7000</v>
      </c>
      <c r="P3" s="58">
        <f>Table2245789101123456[[#This Row],[PEMBULATAN]]*O3</f>
        <v>246960</v>
      </c>
    </row>
    <row r="4" spans="1:16" ht="26.25" customHeight="1" x14ac:dyDescent="0.2">
      <c r="A4" s="14"/>
      <c r="B4" s="68"/>
      <c r="C4" s="9" t="s">
        <v>85</v>
      </c>
      <c r="D4" s="69" t="s">
        <v>59</v>
      </c>
      <c r="E4" s="13">
        <v>44506</v>
      </c>
      <c r="F4" s="69" t="s">
        <v>81</v>
      </c>
      <c r="G4" s="13">
        <v>44512</v>
      </c>
      <c r="H4" s="10" t="s">
        <v>87</v>
      </c>
      <c r="I4" s="1">
        <v>84</v>
      </c>
      <c r="J4" s="1">
        <v>84</v>
      </c>
      <c r="K4" s="1">
        <v>20</v>
      </c>
      <c r="L4" s="1">
        <v>3</v>
      </c>
      <c r="M4" s="72">
        <v>35.28</v>
      </c>
      <c r="N4" s="88">
        <v>35.28</v>
      </c>
      <c r="O4" s="57">
        <v>7000</v>
      </c>
      <c r="P4" s="58">
        <f>Table2245789101123456[[#This Row],[PEMBULATAN]]*O4</f>
        <v>246960</v>
      </c>
    </row>
    <row r="5" spans="1:16" ht="26.25" customHeight="1" x14ac:dyDescent="0.2">
      <c r="A5" s="14"/>
      <c r="B5" s="14"/>
      <c r="C5" s="9" t="s">
        <v>86</v>
      </c>
      <c r="D5" s="69" t="s">
        <v>59</v>
      </c>
      <c r="E5" s="13">
        <v>44506</v>
      </c>
      <c r="F5" s="69" t="s">
        <v>81</v>
      </c>
      <c r="G5" s="13">
        <v>44512</v>
      </c>
      <c r="H5" s="10" t="s">
        <v>87</v>
      </c>
      <c r="I5" s="1">
        <v>84</v>
      </c>
      <c r="J5" s="1">
        <v>84</v>
      </c>
      <c r="K5" s="1">
        <v>20</v>
      </c>
      <c r="L5" s="1">
        <v>3</v>
      </c>
      <c r="M5" s="72">
        <v>35.28</v>
      </c>
      <c r="N5" s="88">
        <v>35.28</v>
      </c>
      <c r="O5" s="57">
        <v>7000</v>
      </c>
      <c r="P5" s="58">
        <f>Table2245789101123456[[#This Row],[PEMBULATAN]]*O5</f>
        <v>246960</v>
      </c>
    </row>
    <row r="6" spans="1:16" ht="22.5" customHeight="1" x14ac:dyDescent="0.2">
      <c r="A6" s="116" t="s">
        <v>30</v>
      </c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8"/>
      <c r="M6" s="71">
        <f>SUBTOTAL(109,Table2245789101123456[KG VOLUME])</f>
        <v>105.84</v>
      </c>
      <c r="N6" s="61">
        <f>SUM(N3:N5)</f>
        <v>105.84</v>
      </c>
      <c r="O6" s="119">
        <f>SUM(P3:P5)</f>
        <v>740880</v>
      </c>
      <c r="P6" s="120"/>
    </row>
    <row r="7" spans="1:16" ht="18" customHeight="1" x14ac:dyDescent="0.2">
      <c r="A7" s="78"/>
      <c r="B7" s="49" t="s">
        <v>42</v>
      </c>
      <c r="C7" s="48"/>
      <c r="D7" s="50" t="s">
        <v>43</v>
      </c>
      <c r="E7" s="78"/>
      <c r="F7" s="78"/>
      <c r="G7" s="78"/>
      <c r="H7" s="78"/>
      <c r="I7" s="78"/>
      <c r="J7" s="78"/>
      <c r="K7" s="78"/>
      <c r="L7" s="78"/>
      <c r="M7" s="79"/>
      <c r="N7" s="80" t="s">
        <v>51</v>
      </c>
      <c r="O7" s="81"/>
      <c r="P7" s="81">
        <f>O6*10%</f>
        <v>74088</v>
      </c>
    </row>
    <row r="8" spans="1:16" ht="18" customHeight="1" thickBot="1" x14ac:dyDescent="0.25">
      <c r="A8" s="78"/>
      <c r="B8" s="49"/>
      <c r="C8" s="48"/>
      <c r="D8" s="50"/>
      <c r="E8" s="78"/>
      <c r="F8" s="78"/>
      <c r="G8" s="78"/>
      <c r="H8" s="78"/>
      <c r="I8" s="78"/>
      <c r="J8" s="78"/>
      <c r="K8" s="78"/>
      <c r="L8" s="78"/>
      <c r="M8" s="79"/>
      <c r="N8" s="82" t="s">
        <v>52</v>
      </c>
      <c r="O8" s="83"/>
      <c r="P8" s="83">
        <f>O6-P7</f>
        <v>666792</v>
      </c>
    </row>
    <row r="9" spans="1:16" ht="18" customHeight="1" x14ac:dyDescent="0.2">
      <c r="A9" s="11"/>
      <c r="H9" s="56"/>
      <c r="N9" s="55" t="s">
        <v>31</v>
      </c>
      <c r="P9" s="62">
        <f>P8*1%</f>
        <v>6667.92</v>
      </c>
    </row>
    <row r="10" spans="1:16" ht="18" customHeight="1" thickBot="1" x14ac:dyDescent="0.25">
      <c r="A10" s="11"/>
      <c r="H10" s="56"/>
      <c r="N10" s="55" t="s">
        <v>53</v>
      </c>
      <c r="P10" s="64">
        <f>P8*2%</f>
        <v>13335.84</v>
      </c>
    </row>
    <row r="11" spans="1:16" ht="18" customHeight="1" x14ac:dyDescent="0.2">
      <c r="A11" s="11"/>
      <c r="H11" s="56"/>
      <c r="N11" s="59" t="s">
        <v>32</v>
      </c>
      <c r="O11" s="60"/>
      <c r="P11" s="63">
        <f>P8+P9-P10</f>
        <v>660124.08000000007</v>
      </c>
    </row>
    <row r="13" spans="1:16" x14ac:dyDescent="0.2">
      <c r="A13" s="11"/>
      <c r="H13" s="56"/>
      <c r="P13" s="64"/>
    </row>
    <row r="14" spans="1:16" x14ac:dyDescent="0.2">
      <c r="A14" s="11"/>
      <c r="H14" s="56"/>
      <c r="O14" s="51"/>
      <c r="P14" s="64"/>
    </row>
    <row r="15" spans="1:16" s="3" customFormat="1" x14ac:dyDescent="0.25">
      <c r="A15" s="11"/>
      <c r="B15" s="2"/>
      <c r="C15" s="2"/>
      <c r="E15" s="12"/>
      <c r="H15" s="56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56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56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56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56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56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56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56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56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56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56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56"/>
      <c r="N26" s="15"/>
      <c r="O26" s="15"/>
      <c r="P26" s="15"/>
    </row>
  </sheetData>
  <mergeCells count="2">
    <mergeCell ref="A6:L6"/>
    <mergeCell ref="O6:P6"/>
  </mergeCells>
  <conditionalFormatting sqref="B3">
    <cfRule type="duplicateValues" dxfId="258" priority="2"/>
  </conditionalFormatting>
  <conditionalFormatting sqref="B4">
    <cfRule type="duplicateValues" dxfId="257" priority="1"/>
  </conditionalFormatting>
  <conditionalFormatting sqref="B5">
    <cfRule type="duplicateValues" dxfId="256" priority="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M12" sqref="M1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75">
        <v>402344</v>
      </c>
      <c r="B3" s="67" t="s">
        <v>88</v>
      </c>
      <c r="C3" s="9" t="s">
        <v>89</v>
      </c>
      <c r="D3" s="69" t="s">
        <v>59</v>
      </c>
      <c r="E3" s="13">
        <v>44508</v>
      </c>
      <c r="F3" s="69" t="s">
        <v>60</v>
      </c>
      <c r="G3" s="13">
        <v>44516</v>
      </c>
      <c r="H3" s="10" t="s">
        <v>90</v>
      </c>
      <c r="I3" s="1">
        <v>58</v>
      </c>
      <c r="J3" s="1">
        <v>43</v>
      </c>
      <c r="K3" s="1">
        <v>76</v>
      </c>
      <c r="L3" s="1">
        <v>31</v>
      </c>
      <c r="M3" s="72">
        <v>47.386000000000003</v>
      </c>
      <c r="N3" s="8">
        <v>48</v>
      </c>
      <c r="O3" s="57">
        <v>7000</v>
      </c>
      <c r="P3" s="58">
        <f>Table22457891011234567[[#This Row],[PEMBULATAN]]*O3</f>
        <v>336000</v>
      </c>
    </row>
    <row r="4" spans="1:16" ht="22.5" customHeight="1" x14ac:dyDescent="0.2">
      <c r="A4" s="116" t="s">
        <v>30</v>
      </c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8"/>
      <c r="M4" s="71">
        <f>SUBTOTAL(109,Table22457891011234567[KG VOLUME])</f>
        <v>47.386000000000003</v>
      </c>
      <c r="N4" s="61">
        <f>SUM(N3:N3)</f>
        <v>48</v>
      </c>
      <c r="O4" s="119">
        <f>SUM(P3:P3)</f>
        <v>336000</v>
      </c>
      <c r="P4" s="120"/>
    </row>
    <row r="5" spans="1:16" ht="18" customHeight="1" x14ac:dyDescent="0.2">
      <c r="A5" s="78"/>
      <c r="B5" s="49" t="s">
        <v>42</v>
      </c>
      <c r="C5" s="48"/>
      <c r="D5" s="50" t="s">
        <v>43</v>
      </c>
      <c r="E5" s="78"/>
      <c r="F5" s="78"/>
      <c r="G5" s="78"/>
      <c r="H5" s="78"/>
      <c r="I5" s="78"/>
      <c r="J5" s="78"/>
      <c r="K5" s="78"/>
      <c r="L5" s="78"/>
      <c r="M5" s="79"/>
      <c r="N5" s="80" t="s">
        <v>51</v>
      </c>
      <c r="O5" s="81"/>
      <c r="P5" s="81">
        <f>O4*10%</f>
        <v>33600</v>
      </c>
    </row>
    <row r="6" spans="1:16" ht="18" customHeight="1" thickBot="1" x14ac:dyDescent="0.25">
      <c r="A6" s="78"/>
      <c r="B6" s="49"/>
      <c r="C6" s="48"/>
      <c r="D6" s="50"/>
      <c r="E6" s="78"/>
      <c r="F6" s="78"/>
      <c r="G6" s="78"/>
      <c r="H6" s="78"/>
      <c r="I6" s="78"/>
      <c r="J6" s="78"/>
      <c r="K6" s="78"/>
      <c r="L6" s="78"/>
      <c r="M6" s="79"/>
      <c r="N6" s="82" t="s">
        <v>52</v>
      </c>
      <c r="O6" s="83"/>
      <c r="P6" s="83">
        <f>O4-P5</f>
        <v>302400</v>
      </c>
    </row>
    <row r="7" spans="1:16" ht="18" customHeight="1" x14ac:dyDescent="0.2">
      <c r="A7" s="11"/>
      <c r="H7" s="56"/>
      <c r="N7" s="55" t="s">
        <v>31</v>
      </c>
      <c r="P7" s="62">
        <f>P6*1%</f>
        <v>3024</v>
      </c>
    </row>
    <row r="8" spans="1:16" ht="18" customHeight="1" thickBot="1" x14ac:dyDescent="0.25">
      <c r="A8" s="11"/>
      <c r="H8" s="56"/>
      <c r="N8" s="55" t="s">
        <v>53</v>
      </c>
      <c r="P8" s="64">
        <f>P6*2%</f>
        <v>6048</v>
      </c>
    </row>
    <row r="9" spans="1:16" ht="18" customHeight="1" x14ac:dyDescent="0.2">
      <c r="A9" s="11"/>
      <c r="H9" s="56"/>
      <c r="N9" s="59" t="s">
        <v>32</v>
      </c>
      <c r="O9" s="60"/>
      <c r="P9" s="63">
        <f>P6+P7-P8</f>
        <v>299376</v>
      </c>
    </row>
    <row r="11" spans="1:16" x14ac:dyDescent="0.2">
      <c r="A11" s="11"/>
      <c r="H11" s="56"/>
      <c r="P11" s="64"/>
    </row>
    <row r="12" spans="1:16" x14ac:dyDescent="0.2">
      <c r="A12" s="11"/>
      <c r="H12" s="56"/>
      <c r="O12" s="51"/>
      <c r="P12" s="64"/>
    </row>
    <row r="13" spans="1:16" s="3" customFormat="1" x14ac:dyDescent="0.25">
      <c r="A13" s="11"/>
      <c r="B13" s="2"/>
      <c r="C13" s="2"/>
      <c r="E13" s="12"/>
      <c r="H13" s="56"/>
      <c r="N13" s="15"/>
      <c r="O13" s="15"/>
      <c r="P13" s="15"/>
    </row>
    <row r="14" spans="1:16" s="3" customFormat="1" x14ac:dyDescent="0.25">
      <c r="A14" s="11"/>
      <c r="B14" s="2"/>
      <c r="C14" s="2"/>
      <c r="E14" s="12"/>
      <c r="H14" s="56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56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56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56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56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56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56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56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56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56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56"/>
      <c r="N24" s="15"/>
      <c r="O24" s="15"/>
      <c r="P24" s="15"/>
    </row>
  </sheetData>
  <mergeCells count="2">
    <mergeCell ref="A4:L4"/>
    <mergeCell ref="O4:P4"/>
  </mergeCells>
  <conditionalFormatting sqref="B3">
    <cfRule type="duplicateValues" dxfId="240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4"/>
  <sheetViews>
    <sheetView zoomScale="110" zoomScaleNormal="110" workbookViewId="0">
      <pane xSplit="3" ySplit="2" topLeftCell="D6" activePane="bottomRight" state="frozen"/>
      <selection pane="topRight" activeCell="B1" sqref="B1"/>
      <selection pane="bottomLeft" activeCell="A3" sqref="A3"/>
      <selection pane="bottomRight" activeCell="O15" sqref="O1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75">
        <v>403857</v>
      </c>
      <c r="B3" s="67" t="s">
        <v>91</v>
      </c>
      <c r="C3" s="9" t="s">
        <v>92</v>
      </c>
      <c r="D3" s="69" t="s">
        <v>59</v>
      </c>
      <c r="E3" s="13">
        <v>44511</v>
      </c>
      <c r="F3" s="69" t="s">
        <v>60</v>
      </c>
      <c r="G3" s="13">
        <v>44516</v>
      </c>
      <c r="H3" s="10" t="s">
        <v>103</v>
      </c>
      <c r="I3" s="1">
        <v>47</v>
      </c>
      <c r="J3" s="1">
        <v>47</v>
      </c>
      <c r="K3" s="1">
        <v>55</v>
      </c>
      <c r="L3" s="1">
        <v>12</v>
      </c>
      <c r="M3" s="72">
        <v>30.373750000000001</v>
      </c>
      <c r="N3" s="8">
        <v>31</v>
      </c>
      <c r="O3" s="57">
        <v>7000</v>
      </c>
      <c r="P3" s="58">
        <f>Table224578910112345678[[#This Row],[PEMBULATAN]]*O3</f>
        <v>217000</v>
      </c>
    </row>
    <row r="4" spans="1:16" ht="26.25" customHeight="1" x14ac:dyDescent="0.2">
      <c r="A4" s="14"/>
      <c r="B4" s="68"/>
      <c r="C4" s="9" t="s">
        <v>93</v>
      </c>
      <c r="D4" s="69" t="s">
        <v>59</v>
      </c>
      <c r="E4" s="13">
        <v>44511</v>
      </c>
      <c r="F4" s="69" t="s">
        <v>60</v>
      </c>
      <c r="G4" s="13">
        <v>44516</v>
      </c>
      <c r="H4" s="10" t="s">
        <v>103</v>
      </c>
      <c r="I4" s="1">
        <v>50</v>
      </c>
      <c r="J4" s="1">
        <v>30</v>
      </c>
      <c r="K4" s="1">
        <v>26</v>
      </c>
      <c r="L4" s="1">
        <v>3</v>
      </c>
      <c r="M4" s="72">
        <v>9.75</v>
      </c>
      <c r="N4" s="88">
        <v>9.75</v>
      </c>
      <c r="O4" s="57">
        <v>7000</v>
      </c>
      <c r="P4" s="58">
        <f>Table224578910112345678[[#This Row],[PEMBULATAN]]*O4</f>
        <v>68250</v>
      </c>
    </row>
    <row r="5" spans="1:16" ht="26.25" customHeight="1" x14ac:dyDescent="0.2">
      <c r="A5" s="14"/>
      <c r="B5" s="14"/>
      <c r="C5" s="9" t="s">
        <v>94</v>
      </c>
      <c r="D5" s="69" t="s">
        <v>59</v>
      </c>
      <c r="E5" s="13">
        <v>44511</v>
      </c>
      <c r="F5" s="69" t="s">
        <v>60</v>
      </c>
      <c r="G5" s="13">
        <v>44516</v>
      </c>
      <c r="H5" s="10" t="s">
        <v>103</v>
      </c>
      <c r="I5" s="1">
        <v>108</v>
      </c>
      <c r="J5" s="1">
        <v>65</v>
      </c>
      <c r="K5" s="1">
        <v>12</v>
      </c>
      <c r="L5" s="1">
        <v>13</v>
      </c>
      <c r="M5" s="72">
        <v>21.06</v>
      </c>
      <c r="N5" s="88">
        <v>21.06</v>
      </c>
      <c r="O5" s="57">
        <v>7000</v>
      </c>
      <c r="P5" s="58">
        <f>Table224578910112345678[[#This Row],[PEMBULATAN]]*O5</f>
        <v>147420</v>
      </c>
    </row>
    <row r="6" spans="1:16" ht="26.25" customHeight="1" x14ac:dyDescent="0.2">
      <c r="A6" s="14"/>
      <c r="B6" s="14"/>
      <c r="C6" s="66" t="s">
        <v>95</v>
      </c>
      <c r="D6" s="69" t="s">
        <v>59</v>
      </c>
      <c r="E6" s="13">
        <v>44511</v>
      </c>
      <c r="F6" s="69" t="s">
        <v>60</v>
      </c>
      <c r="G6" s="13">
        <v>44516</v>
      </c>
      <c r="H6" s="10" t="s">
        <v>103</v>
      </c>
      <c r="I6" s="16">
        <v>51</v>
      </c>
      <c r="J6" s="16">
        <v>45</v>
      </c>
      <c r="K6" s="16">
        <v>12</v>
      </c>
      <c r="L6" s="16">
        <v>13</v>
      </c>
      <c r="M6" s="73">
        <v>6.8849999999999998</v>
      </c>
      <c r="N6" s="65">
        <v>13</v>
      </c>
      <c r="O6" s="57">
        <v>7000</v>
      </c>
      <c r="P6" s="58">
        <f>Table224578910112345678[[#This Row],[PEMBULATAN]]*O6</f>
        <v>91000</v>
      </c>
    </row>
    <row r="7" spans="1:16" ht="26.25" customHeight="1" x14ac:dyDescent="0.2">
      <c r="A7" s="14"/>
      <c r="B7" s="14"/>
      <c r="C7" s="66" t="s">
        <v>96</v>
      </c>
      <c r="D7" s="69" t="s">
        <v>59</v>
      </c>
      <c r="E7" s="13">
        <v>44511</v>
      </c>
      <c r="F7" s="69" t="s">
        <v>60</v>
      </c>
      <c r="G7" s="13">
        <v>44516</v>
      </c>
      <c r="H7" s="10" t="s">
        <v>103</v>
      </c>
      <c r="I7" s="16">
        <v>108</v>
      </c>
      <c r="J7" s="16">
        <v>65</v>
      </c>
      <c r="K7" s="16">
        <v>12</v>
      </c>
      <c r="L7" s="16">
        <v>13</v>
      </c>
      <c r="M7" s="73">
        <v>21.06</v>
      </c>
      <c r="N7" s="88">
        <v>21.06</v>
      </c>
      <c r="O7" s="57">
        <v>7000</v>
      </c>
      <c r="P7" s="58">
        <f>Table224578910112345678[[#This Row],[PEMBULATAN]]*O7</f>
        <v>147420</v>
      </c>
    </row>
    <row r="8" spans="1:16" ht="26.25" customHeight="1" x14ac:dyDescent="0.2">
      <c r="A8" s="14"/>
      <c r="B8" s="14"/>
      <c r="C8" s="66" t="s">
        <v>97</v>
      </c>
      <c r="D8" s="69" t="s">
        <v>59</v>
      </c>
      <c r="E8" s="13">
        <v>44511</v>
      </c>
      <c r="F8" s="69" t="s">
        <v>60</v>
      </c>
      <c r="G8" s="13">
        <v>44516</v>
      </c>
      <c r="H8" s="10" t="s">
        <v>103</v>
      </c>
      <c r="I8" s="16">
        <v>108</v>
      </c>
      <c r="J8" s="16">
        <v>65</v>
      </c>
      <c r="K8" s="16">
        <v>12</v>
      </c>
      <c r="L8" s="16">
        <v>13</v>
      </c>
      <c r="M8" s="73">
        <v>21.06</v>
      </c>
      <c r="N8" s="88">
        <v>21.06</v>
      </c>
      <c r="O8" s="57">
        <v>7000</v>
      </c>
      <c r="P8" s="58">
        <f>Table224578910112345678[[#This Row],[PEMBULATAN]]*O8</f>
        <v>147420</v>
      </c>
    </row>
    <row r="9" spans="1:16" ht="26.25" customHeight="1" x14ac:dyDescent="0.2">
      <c r="A9" s="14"/>
      <c r="B9" s="14"/>
      <c r="C9" s="66" t="s">
        <v>98</v>
      </c>
      <c r="D9" s="69" t="s">
        <v>59</v>
      </c>
      <c r="E9" s="13">
        <v>44511</v>
      </c>
      <c r="F9" s="69" t="s">
        <v>60</v>
      </c>
      <c r="G9" s="13">
        <v>44516</v>
      </c>
      <c r="H9" s="10" t="s">
        <v>103</v>
      </c>
      <c r="I9" s="16">
        <v>108</v>
      </c>
      <c r="J9" s="16">
        <v>65</v>
      </c>
      <c r="K9" s="16">
        <v>12</v>
      </c>
      <c r="L9" s="16">
        <v>13</v>
      </c>
      <c r="M9" s="73">
        <v>21.06</v>
      </c>
      <c r="N9" s="88">
        <v>21.06</v>
      </c>
      <c r="O9" s="57">
        <v>7000</v>
      </c>
      <c r="P9" s="58">
        <f>Table224578910112345678[[#This Row],[PEMBULATAN]]*O9</f>
        <v>147420</v>
      </c>
    </row>
    <row r="10" spans="1:16" ht="26.25" customHeight="1" x14ac:dyDescent="0.2">
      <c r="A10" s="14"/>
      <c r="B10" s="14"/>
      <c r="C10" s="66" t="s">
        <v>99</v>
      </c>
      <c r="D10" s="69" t="s">
        <v>59</v>
      </c>
      <c r="E10" s="13">
        <v>44511</v>
      </c>
      <c r="F10" s="69" t="s">
        <v>60</v>
      </c>
      <c r="G10" s="13">
        <v>44516</v>
      </c>
      <c r="H10" s="10" t="s">
        <v>103</v>
      </c>
      <c r="I10" s="16">
        <v>36</v>
      </c>
      <c r="J10" s="16">
        <v>14</v>
      </c>
      <c r="K10" s="16">
        <v>10</v>
      </c>
      <c r="L10" s="16">
        <v>10</v>
      </c>
      <c r="M10" s="73">
        <v>1.26</v>
      </c>
      <c r="N10" s="88">
        <v>10</v>
      </c>
      <c r="O10" s="57">
        <v>7000</v>
      </c>
      <c r="P10" s="58">
        <f>Table224578910112345678[[#This Row],[PEMBULATAN]]*O10</f>
        <v>70000</v>
      </c>
    </row>
    <row r="11" spans="1:16" ht="26.25" customHeight="1" x14ac:dyDescent="0.2">
      <c r="A11" s="14"/>
      <c r="B11" s="14"/>
      <c r="C11" s="66" t="s">
        <v>100</v>
      </c>
      <c r="D11" s="69" t="s">
        <v>59</v>
      </c>
      <c r="E11" s="13">
        <v>44511</v>
      </c>
      <c r="F11" s="69" t="s">
        <v>60</v>
      </c>
      <c r="G11" s="13">
        <v>44516</v>
      </c>
      <c r="H11" s="10" t="s">
        <v>103</v>
      </c>
      <c r="I11" s="16">
        <v>45</v>
      </c>
      <c r="J11" s="16">
        <v>25</v>
      </c>
      <c r="K11" s="16">
        <v>26</v>
      </c>
      <c r="L11" s="16">
        <v>10</v>
      </c>
      <c r="M11" s="73">
        <v>7.3125</v>
      </c>
      <c r="N11" s="88">
        <v>10</v>
      </c>
      <c r="O11" s="57">
        <v>7000</v>
      </c>
      <c r="P11" s="58">
        <f>Table224578910112345678[[#This Row],[PEMBULATAN]]*O11</f>
        <v>70000</v>
      </c>
    </row>
    <row r="12" spans="1:16" ht="26.25" customHeight="1" x14ac:dyDescent="0.2">
      <c r="A12" s="14"/>
      <c r="B12" s="14"/>
      <c r="C12" s="66" t="s">
        <v>101</v>
      </c>
      <c r="D12" s="69" t="s">
        <v>59</v>
      </c>
      <c r="E12" s="13">
        <v>44511</v>
      </c>
      <c r="F12" s="69" t="s">
        <v>60</v>
      </c>
      <c r="G12" s="13">
        <v>44516</v>
      </c>
      <c r="H12" s="10" t="s">
        <v>103</v>
      </c>
      <c r="I12" s="16">
        <v>86</v>
      </c>
      <c r="J12" s="16">
        <v>46</v>
      </c>
      <c r="K12" s="16">
        <v>18</v>
      </c>
      <c r="L12" s="16">
        <v>13</v>
      </c>
      <c r="M12" s="73">
        <v>17.802</v>
      </c>
      <c r="N12" s="88">
        <v>17.802</v>
      </c>
      <c r="O12" s="57">
        <v>7000</v>
      </c>
      <c r="P12" s="58">
        <f>Table224578910112345678[[#This Row],[PEMBULATAN]]*O12</f>
        <v>124614</v>
      </c>
    </row>
    <row r="13" spans="1:16" ht="26.25" customHeight="1" x14ac:dyDescent="0.2">
      <c r="A13" s="14"/>
      <c r="B13" s="14"/>
      <c r="C13" s="66" t="s">
        <v>102</v>
      </c>
      <c r="D13" s="69" t="s">
        <v>59</v>
      </c>
      <c r="E13" s="13">
        <v>44511</v>
      </c>
      <c r="F13" s="69" t="s">
        <v>60</v>
      </c>
      <c r="G13" s="13">
        <v>44516</v>
      </c>
      <c r="H13" s="10" t="s">
        <v>103</v>
      </c>
      <c r="I13" s="16">
        <v>56</v>
      </c>
      <c r="J13" s="16">
        <v>46</v>
      </c>
      <c r="K13" s="16">
        <v>40</v>
      </c>
      <c r="L13" s="16">
        <v>10</v>
      </c>
      <c r="M13" s="73">
        <v>25.76</v>
      </c>
      <c r="N13" s="88">
        <v>25.76</v>
      </c>
      <c r="O13" s="57">
        <v>7000</v>
      </c>
      <c r="P13" s="58">
        <f>Table224578910112345678[[#This Row],[PEMBULATAN]]*O13</f>
        <v>180320</v>
      </c>
    </row>
    <row r="14" spans="1:16" ht="22.5" customHeight="1" x14ac:dyDescent="0.2">
      <c r="A14" s="116" t="s">
        <v>30</v>
      </c>
      <c r="B14" s="117"/>
      <c r="C14" s="117"/>
      <c r="D14" s="117"/>
      <c r="E14" s="117"/>
      <c r="F14" s="117"/>
      <c r="G14" s="117"/>
      <c r="H14" s="117"/>
      <c r="I14" s="117"/>
      <c r="J14" s="117"/>
      <c r="K14" s="117"/>
      <c r="L14" s="118"/>
      <c r="M14" s="71">
        <f>SUBTOTAL(109,Table224578910112345678[KG VOLUME])</f>
        <v>183.38324999999998</v>
      </c>
      <c r="N14" s="61">
        <f>SUM(N3:N13)</f>
        <v>201.55199999999999</v>
      </c>
      <c r="O14" s="119">
        <f>SUM(P3:P13)</f>
        <v>1410864</v>
      </c>
      <c r="P14" s="120"/>
    </row>
    <row r="15" spans="1:16" ht="18" customHeight="1" x14ac:dyDescent="0.2">
      <c r="A15" s="78"/>
      <c r="B15" s="49" t="s">
        <v>42</v>
      </c>
      <c r="C15" s="48"/>
      <c r="D15" s="50" t="s">
        <v>43</v>
      </c>
      <c r="E15" s="78"/>
      <c r="F15" s="78"/>
      <c r="G15" s="78"/>
      <c r="H15" s="78"/>
      <c r="I15" s="78"/>
      <c r="J15" s="78"/>
      <c r="K15" s="78"/>
      <c r="L15" s="78"/>
      <c r="M15" s="79"/>
      <c r="N15" s="80" t="s">
        <v>51</v>
      </c>
      <c r="O15" s="81"/>
      <c r="P15" s="81">
        <f>O14*10%</f>
        <v>141086.39999999999</v>
      </c>
    </row>
    <row r="16" spans="1:16" ht="18" customHeight="1" thickBot="1" x14ac:dyDescent="0.25">
      <c r="A16" s="78"/>
      <c r="B16" s="49"/>
      <c r="C16" s="48"/>
      <c r="D16" s="50"/>
      <c r="E16" s="78"/>
      <c r="F16" s="78"/>
      <c r="G16" s="78"/>
      <c r="H16" s="78"/>
      <c r="I16" s="78"/>
      <c r="J16" s="78"/>
      <c r="K16" s="78"/>
      <c r="L16" s="78"/>
      <c r="M16" s="79"/>
      <c r="N16" s="82" t="s">
        <v>52</v>
      </c>
      <c r="O16" s="83"/>
      <c r="P16" s="83">
        <f>O14-P15</f>
        <v>1269777.6000000001</v>
      </c>
    </row>
    <row r="17" spans="1:16" ht="18" customHeight="1" x14ac:dyDescent="0.2">
      <c r="A17" s="11"/>
      <c r="H17" s="56"/>
      <c r="N17" s="55" t="s">
        <v>31</v>
      </c>
      <c r="P17" s="62">
        <f>P16*1%</f>
        <v>12697.776000000002</v>
      </c>
    </row>
    <row r="18" spans="1:16" ht="18" customHeight="1" thickBot="1" x14ac:dyDescent="0.25">
      <c r="A18" s="11"/>
      <c r="H18" s="56"/>
      <c r="N18" s="55" t="s">
        <v>53</v>
      </c>
      <c r="P18" s="64">
        <f>P16*2%</f>
        <v>25395.552000000003</v>
      </c>
    </row>
    <row r="19" spans="1:16" ht="18" customHeight="1" x14ac:dyDescent="0.2">
      <c r="A19" s="11"/>
      <c r="H19" s="56"/>
      <c r="N19" s="59" t="s">
        <v>32</v>
      </c>
      <c r="O19" s="60"/>
      <c r="P19" s="63">
        <f>P16+P17-P18</f>
        <v>1257079.8240000003</v>
      </c>
    </row>
    <row r="21" spans="1:16" x14ac:dyDescent="0.2">
      <c r="A21" s="11"/>
      <c r="H21" s="56"/>
      <c r="P21" s="64"/>
    </row>
    <row r="22" spans="1:16" x14ac:dyDescent="0.2">
      <c r="A22" s="11"/>
      <c r="H22" s="56"/>
      <c r="O22" s="51"/>
      <c r="P22" s="64"/>
    </row>
    <row r="23" spans="1:16" s="3" customFormat="1" x14ac:dyDescent="0.25">
      <c r="A23" s="11"/>
      <c r="B23" s="2"/>
      <c r="C23" s="2"/>
      <c r="E23" s="12"/>
      <c r="H23" s="56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56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56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56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56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56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56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56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56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56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56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56"/>
      <c r="N34" s="15"/>
      <c r="O34" s="15"/>
      <c r="P34" s="15"/>
    </row>
  </sheetData>
  <mergeCells count="2">
    <mergeCell ref="A14:L14"/>
    <mergeCell ref="O14:P14"/>
  </mergeCells>
  <conditionalFormatting sqref="B3">
    <cfRule type="duplicateValues" dxfId="224" priority="2"/>
  </conditionalFormatting>
  <conditionalFormatting sqref="B4">
    <cfRule type="duplicateValues" dxfId="223" priority="1"/>
  </conditionalFormatting>
  <conditionalFormatting sqref="B5:B13">
    <cfRule type="duplicateValues" dxfId="222" priority="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6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7" sqref="O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285156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75">
        <v>403861</v>
      </c>
      <c r="B3" s="67" t="s">
        <v>104</v>
      </c>
      <c r="C3" s="9" t="s">
        <v>105</v>
      </c>
      <c r="D3" s="69" t="s">
        <v>59</v>
      </c>
      <c r="E3" s="13">
        <v>44512</v>
      </c>
      <c r="F3" s="69" t="s">
        <v>60</v>
      </c>
      <c r="G3" s="13">
        <v>44520</v>
      </c>
      <c r="H3" s="10" t="s">
        <v>108</v>
      </c>
      <c r="I3" s="1">
        <v>86</v>
      </c>
      <c r="J3" s="1">
        <v>86</v>
      </c>
      <c r="K3" s="1">
        <v>27</v>
      </c>
      <c r="L3" s="1">
        <v>5</v>
      </c>
      <c r="M3" s="72">
        <v>49.923000000000002</v>
      </c>
      <c r="N3" s="88">
        <v>49.923000000000002</v>
      </c>
      <c r="O3" s="57">
        <v>7000</v>
      </c>
      <c r="P3" s="58">
        <f>Table2245789101123456789[[#This Row],[PEMBULATAN]]*O3</f>
        <v>349461</v>
      </c>
    </row>
    <row r="4" spans="1:16" ht="26.25" customHeight="1" x14ac:dyDescent="0.2">
      <c r="A4" s="14"/>
      <c r="B4" s="68"/>
      <c r="C4" s="9" t="s">
        <v>106</v>
      </c>
      <c r="D4" s="69" t="s">
        <v>59</v>
      </c>
      <c r="E4" s="13">
        <v>44512</v>
      </c>
      <c r="F4" s="69" t="s">
        <v>60</v>
      </c>
      <c r="G4" s="13">
        <v>44520</v>
      </c>
      <c r="H4" s="10" t="s">
        <v>108</v>
      </c>
      <c r="I4" s="1">
        <v>86</v>
      </c>
      <c r="J4" s="1">
        <v>86</v>
      </c>
      <c r="K4" s="1">
        <v>27</v>
      </c>
      <c r="L4" s="1">
        <v>5</v>
      </c>
      <c r="M4" s="72">
        <v>49.923000000000002</v>
      </c>
      <c r="N4" s="88">
        <v>49.923000000000002</v>
      </c>
      <c r="O4" s="57">
        <v>7000</v>
      </c>
      <c r="P4" s="58">
        <f>Table2245789101123456789[[#This Row],[PEMBULATAN]]*O4</f>
        <v>349461</v>
      </c>
    </row>
    <row r="5" spans="1:16" ht="26.25" customHeight="1" x14ac:dyDescent="0.2">
      <c r="A5" s="14"/>
      <c r="B5" s="14"/>
      <c r="C5" s="9" t="s">
        <v>107</v>
      </c>
      <c r="D5" s="69" t="s">
        <v>59</v>
      </c>
      <c r="E5" s="13">
        <v>44512</v>
      </c>
      <c r="F5" s="69" t="s">
        <v>60</v>
      </c>
      <c r="G5" s="13">
        <v>44520</v>
      </c>
      <c r="H5" s="10" t="s">
        <v>108</v>
      </c>
      <c r="I5" s="1">
        <v>86</v>
      </c>
      <c r="J5" s="1">
        <v>86</v>
      </c>
      <c r="K5" s="1">
        <v>27</v>
      </c>
      <c r="L5" s="1">
        <v>5</v>
      </c>
      <c r="M5" s="72">
        <v>49.923000000000002</v>
      </c>
      <c r="N5" s="88">
        <v>49.923000000000002</v>
      </c>
      <c r="O5" s="57">
        <v>7000</v>
      </c>
      <c r="P5" s="58">
        <f>Table2245789101123456789[[#This Row],[PEMBULATAN]]*O5</f>
        <v>349461</v>
      </c>
    </row>
    <row r="6" spans="1:16" ht="22.5" customHeight="1" x14ac:dyDescent="0.2">
      <c r="A6" s="116" t="s">
        <v>30</v>
      </c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8"/>
      <c r="M6" s="71">
        <f>SUBTOTAL(109,Table2245789101123456789[KG VOLUME])</f>
        <v>149.76900000000001</v>
      </c>
      <c r="N6" s="61">
        <f>SUM(N3:N5)</f>
        <v>149.76900000000001</v>
      </c>
      <c r="O6" s="119">
        <f>SUM(P3:P5)</f>
        <v>1048383</v>
      </c>
      <c r="P6" s="120"/>
    </row>
    <row r="7" spans="1:16" ht="18" customHeight="1" x14ac:dyDescent="0.2">
      <c r="A7" s="78"/>
      <c r="B7" s="49" t="s">
        <v>42</v>
      </c>
      <c r="C7" s="48"/>
      <c r="D7" s="50" t="s">
        <v>43</v>
      </c>
      <c r="E7" s="78"/>
      <c r="F7" s="78"/>
      <c r="G7" s="78"/>
      <c r="H7" s="78"/>
      <c r="I7" s="78"/>
      <c r="J7" s="78"/>
      <c r="K7" s="78"/>
      <c r="L7" s="78"/>
      <c r="M7" s="79"/>
      <c r="N7" s="80" t="s">
        <v>51</v>
      </c>
      <c r="O7" s="81"/>
      <c r="P7" s="81">
        <f>O6*10%</f>
        <v>104838.3</v>
      </c>
    </row>
    <row r="8" spans="1:16" ht="18" customHeight="1" thickBot="1" x14ac:dyDescent="0.25">
      <c r="A8" s="78"/>
      <c r="B8" s="49"/>
      <c r="C8" s="48"/>
      <c r="D8" s="50"/>
      <c r="E8" s="78"/>
      <c r="F8" s="78"/>
      <c r="G8" s="78"/>
      <c r="H8" s="78"/>
      <c r="I8" s="78"/>
      <c r="J8" s="78"/>
      <c r="K8" s="78"/>
      <c r="L8" s="78"/>
      <c r="M8" s="79"/>
      <c r="N8" s="82" t="s">
        <v>52</v>
      </c>
      <c r="O8" s="83"/>
      <c r="P8" s="83">
        <f>O6-P7</f>
        <v>943544.7</v>
      </c>
    </row>
    <row r="9" spans="1:16" ht="18" customHeight="1" x14ac:dyDescent="0.2">
      <c r="A9" s="11"/>
      <c r="H9" s="56"/>
      <c r="N9" s="55" t="s">
        <v>31</v>
      </c>
      <c r="P9" s="62">
        <f>P8*1%</f>
        <v>9435.4470000000001</v>
      </c>
    </row>
    <row r="10" spans="1:16" ht="18" customHeight="1" thickBot="1" x14ac:dyDescent="0.25">
      <c r="A10" s="11"/>
      <c r="H10" s="56"/>
      <c r="N10" s="55" t="s">
        <v>53</v>
      </c>
      <c r="P10" s="64">
        <f>P8*2%</f>
        <v>18870.894</v>
      </c>
    </row>
    <row r="11" spans="1:16" ht="18" customHeight="1" x14ac:dyDescent="0.2">
      <c r="A11" s="11"/>
      <c r="H11" s="56"/>
      <c r="N11" s="59" t="s">
        <v>32</v>
      </c>
      <c r="O11" s="60"/>
      <c r="P11" s="63">
        <f>P8+P9-P10</f>
        <v>934109.25300000003</v>
      </c>
    </row>
    <row r="13" spans="1:16" x14ac:dyDescent="0.2">
      <c r="A13" s="11"/>
      <c r="H13" s="56"/>
      <c r="P13" s="64"/>
    </row>
    <row r="14" spans="1:16" x14ac:dyDescent="0.2">
      <c r="A14" s="11"/>
      <c r="H14" s="56"/>
      <c r="O14" s="51"/>
      <c r="P14" s="64"/>
    </row>
    <row r="15" spans="1:16" s="3" customFormat="1" x14ac:dyDescent="0.25">
      <c r="A15" s="11"/>
      <c r="B15" s="2"/>
      <c r="C15" s="2"/>
      <c r="E15" s="12"/>
      <c r="H15" s="56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56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56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56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56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56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56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56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56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56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56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56"/>
      <c r="N26" s="15"/>
      <c r="O26" s="15"/>
      <c r="P26" s="15"/>
    </row>
  </sheetData>
  <mergeCells count="2">
    <mergeCell ref="A6:L6"/>
    <mergeCell ref="O6:P6"/>
  </mergeCells>
  <conditionalFormatting sqref="B3">
    <cfRule type="duplicateValues" dxfId="206" priority="2"/>
  </conditionalFormatting>
  <conditionalFormatting sqref="B4">
    <cfRule type="duplicateValues" dxfId="205" priority="1"/>
  </conditionalFormatting>
  <conditionalFormatting sqref="B5">
    <cfRule type="duplicateValues" dxfId="204" priority="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20</vt:i4>
      </vt:variant>
    </vt:vector>
  </HeadingPairs>
  <TitlesOfParts>
    <vt:vector size="40" baseType="lpstr">
      <vt:lpstr>051_Sicepat_TNJ</vt:lpstr>
      <vt:lpstr>402444</vt:lpstr>
      <vt:lpstr>402449</vt:lpstr>
      <vt:lpstr>402323</vt:lpstr>
      <vt:lpstr>403328</vt:lpstr>
      <vt:lpstr>402336</vt:lpstr>
      <vt:lpstr>402344</vt:lpstr>
      <vt:lpstr>403857</vt:lpstr>
      <vt:lpstr>403861</vt:lpstr>
      <vt:lpstr>403869</vt:lpstr>
      <vt:lpstr>403881</vt:lpstr>
      <vt:lpstr>403884</vt:lpstr>
      <vt:lpstr>403893</vt:lpstr>
      <vt:lpstr>403896</vt:lpstr>
      <vt:lpstr>403899</vt:lpstr>
      <vt:lpstr>403706</vt:lpstr>
      <vt:lpstr>403719</vt:lpstr>
      <vt:lpstr>403723</vt:lpstr>
      <vt:lpstr>403732</vt:lpstr>
      <vt:lpstr>403741</vt:lpstr>
      <vt:lpstr>'051_Sicepat_TNJ'!Print_Titles</vt:lpstr>
      <vt:lpstr>'402323'!Print_Titles</vt:lpstr>
      <vt:lpstr>'402336'!Print_Titles</vt:lpstr>
      <vt:lpstr>'402344'!Print_Titles</vt:lpstr>
      <vt:lpstr>'402444'!Print_Titles</vt:lpstr>
      <vt:lpstr>'402449'!Print_Titles</vt:lpstr>
      <vt:lpstr>'403328'!Print_Titles</vt:lpstr>
      <vt:lpstr>'403706'!Print_Titles</vt:lpstr>
      <vt:lpstr>'403719'!Print_Titles</vt:lpstr>
      <vt:lpstr>'403723'!Print_Titles</vt:lpstr>
      <vt:lpstr>'403732'!Print_Titles</vt:lpstr>
      <vt:lpstr>'403741'!Print_Titles</vt:lpstr>
      <vt:lpstr>'403857'!Print_Titles</vt:lpstr>
      <vt:lpstr>'403861'!Print_Titles</vt:lpstr>
      <vt:lpstr>'403869'!Print_Titles</vt:lpstr>
      <vt:lpstr>'403881'!Print_Titles</vt:lpstr>
      <vt:lpstr>'403884'!Print_Titles</vt:lpstr>
      <vt:lpstr>'403893'!Print_Titles</vt:lpstr>
      <vt:lpstr>'403896'!Print_Titles</vt:lpstr>
      <vt:lpstr>'403899'!Print_Titles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2021-12-21T07:15:15Z</cp:lastPrinted>
  <dcterms:created xsi:type="dcterms:W3CDTF">2021-07-02T11:08:00Z</dcterms:created>
  <dcterms:modified xsi:type="dcterms:W3CDTF">2021-12-21T07:22:04Z</dcterms:modified>
</cp:coreProperties>
</file>