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/>
  </bookViews>
  <sheets>
    <sheet name="052_Sicepat_Ternate" sheetId="2" r:id="rId1"/>
    <sheet name="402321" sheetId="26" r:id="rId2"/>
    <sheet name="402348" sheetId="57" r:id="rId3"/>
    <sheet name="403856" sheetId="58" r:id="rId4"/>
    <sheet name="403862" sheetId="59" r:id="rId5"/>
    <sheet name="403886" sheetId="60" r:id="rId6"/>
    <sheet name="403892" sheetId="61" r:id="rId7"/>
    <sheet name="406075" sheetId="62" r:id="rId8"/>
    <sheet name="403718" sheetId="63" r:id="rId9"/>
    <sheet name="403722" sheetId="64" r:id="rId10"/>
    <sheet name="403731" sheetId="65" r:id="rId11"/>
    <sheet name="403739" sheetId="66" r:id="rId12"/>
  </sheets>
  <definedNames>
    <definedName name="_xlnm.Print_Titles" localSheetId="0">'052_Sicepat_Ternate'!$2:$17</definedName>
    <definedName name="_xlnm.Print_Titles" localSheetId="1">'402321'!$2:$2</definedName>
    <definedName name="_xlnm.Print_Titles" localSheetId="2">'402348'!$2:$2</definedName>
    <definedName name="_xlnm.Print_Titles" localSheetId="8">'403718'!$2:$2</definedName>
    <definedName name="_xlnm.Print_Titles" localSheetId="9">'403722'!$2:$2</definedName>
    <definedName name="_xlnm.Print_Titles" localSheetId="10">'403731'!$2:$2</definedName>
    <definedName name="_xlnm.Print_Titles" localSheetId="11">'403739'!$2:$2</definedName>
    <definedName name="_xlnm.Print_Titles" localSheetId="3">'403856'!$2:$2</definedName>
    <definedName name="_xlnm.Print_Titles" localSheetId="4">'403862'!$2:$2</definedName>
    <definedName name="_xlnm.Print_Titles" localSheetId="5">'403886'!$2:$2</definedName>
    <definedName name="_xlnm.Print_Titles" localSheetId="6">'403892'!$2:$2</definedName>
    <definedName name="_xlnm.Print_Titles" localSheetId="7">'406075'!$2:$2</definedName>
  </definedNames>
  <calcPr calcId="162913"/>
</workbook>
</file>

<file path=xl/calcChain.xml><?xml version="1.0" encoding="utf-8"?>
<calcChain xmlns="http://schemas.openxmlformats.org/spreadsheetml/2006/main">
  <c r="O8" i="66" l="1"/>
  <c r="N8" i="66"/>
  <c r="O8" i="65"/>
  <c r="N8" i="65"/>
  <c r="O7" i="64"/>
  <c r="N7" i="64"/>
  <c r="O11" i="63"/>
  <c r="N11" i="63"/>
  <c r="O6" i="62"/>
  <c r="N6" i="62"/>
  <c r="O5" i="61"/>
  <c r="N5" i="61"/>
  <c r="O5" i="60"/>
  <c r="N5" i="60"/>
  <c r="O19" i="59"/>
  <c r="N19" i="59"/>
  <c r="O24" i="58"/>
  <c r="N24" i="58"/>
  <c r="O7" i="57"/>
  <c r="N7" i="57"/>
  <c r="P9" i="66" l="1"/>
  <c r="P9" i="65"/>
  <c r="P8" i="64"/>
  <c r="P6" i="61"/>
  <c r="P6" i="60"/>
  <c r="P20" i="59"/>
  <c r="P25" i="58"/>
  <c r="P8" i="57"/>
  <c r="P7" i="26"/>
  <c r="B28" i="2" l="1"/>
  <c r="B27" i="2"/>
  <c r="B26" i="2"/>
  <c r="B25" i="2"/>
  <c r="B24" i="2"/>
  <c r="B23" i="2"/>
  <c r="B22" i="2"/>
  <c r="B21" i="2"/>
  <c r="B20" i="2"/>
  <c r="B19" i="2"/>
  <c r="B18" i="2"/>
  <c r="C28" i="2" l="1"/>
  <c r="C27" i="2"/>
  <c r="C26" i="2"/>
  <c r="C25" i="2"/>
  <c r="C24" i="2"/>
  <c r="C23" i="2"/>
  <c r="C22" i="2"/>
  <c r="C21" i="2"/>
  <c r="C20" i="2"/>
  <c r="C19" i="2"/>
  <c r="C18" i="2"/>
  <c r="G28" i="2"/>
  <c r="M8" i="66"/>
  <c r="P7" i="66"/>
  <c r="P6" i="66"/>
  <c r="P5" i="66"/>
  <c r="P4" i="66"/>
  <c r="P3" i="66"/>
  <c r="M8" i="65"/>
  <c r="P7" i="65"/>
  <c r="P6" i="65"/>
  <c r="P5" i="65"/>
  <c r="P4" i="65"/>
  <c r="P3" i="65"/>
  <c r="G26" i="2"/>
  <c r="M7" i="64"/>
  <c r="P6" i="64"/>
  <c r="P5" i="64"/>
  <c r="P4" i="64"/>
  <c r="P3" i="64"/>
  <c r="G25" i="2"/>
  <c r="M11" i="63"/>
  <c r="P10" i="63"/>
  <c r="P9" i="63"/>
  <c r="P8" i="63"/>
  <c r="P7" i="63"/>
  <c r="P6" i="63"/>
  <c r="P5" i="63"/>
  <c r="P4" i="63"/>
  <c r="P3" i="63"/>
  <c r="M6" i="62"/>
  <c r="P5" i="62"/>
  <c r="P4" i="62"/>
  <c r="P3" i="62"/>
  <c r="M5" i="61"/>
  <c r="P4" i="61"/>
  <c r="P3" i="61"/>
  <c r="M5" i="60"/>
  <c r="P4" i="60"/>
  <c r="P3" i="60"/>
  <c r="G21" i="2"/>
  <c r="M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P3" i="59"/>
  <c r="G20" i="2"/>
  <c r="M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P3" i="58"/>
  <c r="G19" i="2"/>
  <c r="M7" i="57"/>
  <c r="P6" i="57"/>
  <c r="P5" i="57"/>
  <c r="P4" i="57"/>
  <c r="P3" i="57"/>
  <c r="P10" i="66" l="1"/>
  <c r="P12" i="66" s="1"/>
  <c r="P10" i="65"/>
  <c r="P12" i="65" s="1"/>
  <c r="P9" i="64"/>
  <c r="P10" i="64" s="1"/>
  <c r="P7" i="61"/>
  <c r="P8" i="61" s="1"/>
  <c r="P7" i="60"/>
  <c r="P8" i="60" s="1"/>
  <c r="P21" i="59"/>
  <c r="P23" i="59" s="1"/>
  <c r="P26" i="58"/>
  <c r="P28" i="58" s="1"/>
  <c r="P9" i="57"/>
  <c r="P10" i="57" s="1"/>
  <c r="P12" i="63" l="1"/>
  <c r="P13" i="63" s="1"/>
  <c r="P7" i="62"/>
  <c r="P8" i="62" s="1"/>
  <c r="P9" i="60"/>
  <c r="P10" i="60"/>
  <c r="P11" i="66"/>
  <c r="P13" i="66" s="1"/>
  <c r="P11" i="65"/>
  <c r="P13" i="65" s="1"/>
  <c r="P11" i="64"/>
  <c r="P12" i="64" s="1"/>
  <c r="P9" i="61"/>
  <c r="P10" i="61" s="1"/>
  <c r="P22" i="59"/>
  <c r="P24" i="59" s="1"/>
  <c r="P27" i="58"/>
  <c r="P29" i="58" s="1"/>
  <c r="P11" i="57"/>
  <c r="P12" i="57" s="1"/>
  <c r="I34" i="2"/>
  <c r="I33" i="2"/>
  <c r="I35" i="2" s="1"/>
  <c r="P4" i="26"/>
  <c r="P5" i="26"/>
  <c r="P15" i="63" l="1"/>
  <c r="P14" i="63"/>
  <c r="P16" i="63" s="1"/>
  <c r="P10" i="62"/>
  <c r="P9" i="62"/>
  <c r="P11" i="62" s="1"/>
  <c r="N6" i="26"/>
  <c r="G18" i="2" s="1"/>
  <c r="M6" i="26"/>
  <c r="P3" i="26"/>
  <c r="O6" i="26" l="1"/>
  <c r="P8" i="26" s="1"/>
  <c r="J28" i="2"/>
  <c r="J27" i="2"/>
  <c r="J26" i="2"/>
  <c r="J25" i="2"/>
  <c r="P9" i="26" l="1"/>
  <c r="P10" i="26"/>
  <c r="J24" i="2"/>
  <c r="P11" i="26" l="1"/>
  <c r="A19" i="2"/>
  <c r="A20" i="2" s="1"/>
  <c r="A21" i="2" s="1"/>
  <c r="A22" i="2" s="1"/>
  <c r="A23" i="2" s="1"/>
  <c r="A24" i="2" s="1"/>
  <c r="A25" i="2" s="1"/>
  <c r="A26" i="2" s="1"/>
  <c r="A27" i="2" s="1"/>
  <c r="A28" i="2" s="1"/>
  <c r="J23" i="2"/>
  <c r="J21" i="2"/>
  <c r="J22" i="2"/>
  <c r="J20" i="2"/>
  <c r="J19" i="2"/>
  <c r="J29" i="2" l="1"/>
  <c r="I46" i="2"/>
  <c r="J18" i="2"/>
  <c r="J31" i="2" l="1"/>
  <c r="J32" i="2" s="1"/>
  <c r="J34" i="2" l="1"/>
  <c r="J33" i="2"/>
  <c r="J35" i="2" s="1"/>
</calcChain>
</file>

<file path=xl/sharedStrings.xml><?xml version="1.0" encoding="utf-8"?>
<sst xmlns="http://schemas.openxmlformats.org/spreadsheetml/2006/main" count="634" uniqueCount="154">
  <si>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</si>
  <si>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</si>
  <si>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</si>
  <si>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</si>
  <si>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</si>
  <si>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</si>
  <si>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</si>
  <si>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</si>
  <si>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</si>
  <si>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</si>
  <si>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</si>
  <si>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</si>
  <si>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</si>
  <si>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</si>
  <si>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</si>
  <si>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</si>
  <si>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</si>
  <si>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</si>
  <si>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</si>
  <si>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</si>
  <si>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</si>
  <si>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</si>
  <si>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</si>
  <si>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</si>
  <si>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</si>
  <si>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</si>
  <si>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</si>
  <si>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</si>
  <si>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</si>
  <si>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</si>
  <si>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</si>
  <si>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</si>
  <si>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</si>
  <si>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</si>
  <si>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</si>
  <si>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</si>
  <si>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</si>
  <si>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</si>
  <si>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</si>
  <si>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</si>
  <si>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</si>
  <si>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</si>
  <si>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</si>
  <si>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</si>
  <si>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</si>
  <si>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</si>
  <si>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</si>
  <si>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</si>
  <si>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</si>
  <si>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</si>
  <si>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</si>
  <si>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</si>
  <si>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</si>
  <si>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</si>
  <si>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</si>
  <si>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</si>
  <si>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DMD/2111/03/KUEC0279</t>
  </si>
  <si>
    <t>GSK211103HPA803</t>
  </si>
  <si>
    <t>GSK211103YNX231</t>
  </si>
  <si>
    <t>GSK211103NUB250</t>
  </si>
  <si>
    <t>DMP TTE (TERNATE)</t>
  </si>
  <si>
    <t>KM DOROLONDA</t>
  </si>
  <si>
    <t>11/23/2021 IDRIS</t>
  </si>
  <si>
    <t>DMD/2111/09/IWDX2341</t>
  </si>
  <si>
    <t>GSK211106ACX815</t>
  </si>
  <si>
    <t>GSK211106RNF473</t>
  </si>
  <si>
    <t>GSK211106SUX309</t>
  </si>
  <si>
    <t>GSK211106YRJ832</t>
  </si>
  <si>
    <t xml:space="preserve"> DMP TTE (TERNATE)</t>
  </si>
  <si>
    <t>11/27/2021 WAHYUDI</t>
  </si>
  <si>
    <t>DMD/2111/11/XVWZ1906</t>
  </si>
  <si>
    <t>GSK211111DSY946</t>
  </si>
  <si>
    <t>GSK211111CQE180</t>
  </si>
  <si>
    <t>GSK211101JTW856</t>
  </si>
  <si>
    <t>GSK211111RGC439</t>
  </si>
  <si>
    <t>GSK211111PED152</t>
  </si>
  <si>
    <t>GSK211111JMU530</t>
  </si>
  <si>
    <t>GSK211111GYM630</t>
  </si>
  <si>
    <t>GSK211111ZHQ251</t>
  </si>
  <si>
    <t>GSK211111SOD965</t>
  </si>
  <si>
    <t>GSK211111FSX306</t>
  </si>
  <si>
    <t>GSK211111PGU105</t>
  </si>
  <si>
    <t>GSK211111LUP875</t>
  </si>
  <si>
    <t>GSK211111UZG198</t>
  </si>
  <si>
    <t>GSK211111NTR485</t>
  </si>
  <si>
    <t>GSK211111AHR812</t>
  </si>
  <si>
    <t>GSK211111NSI182</t>
  </si>
  <si>
    <t>GSK211111MGV764</t>
  </si>
  <si>
    <t>GSK211111CJV104</t>
  </si>
  <si>
    <t>GSK211111BQH702</t>
  </si>
  <si>
    <t>GSK211111QDU968</t>
  </si>
  <si>
    <t>GSK211111WLM028</t>
  </si>
  <si>
    <t>DMD/2111/12/VQMX9028</t>
  </si>
  <si>
    <t>GSK211112RZF192</t>
  </si>
  <si>
    <t>GSK211112LOQ386</t>
  </si>
  <si>
    <t>GSK211112THZ463</t>
  </si>
  <si>
    <t>GSK211112RPV408</t>
  </si>
  <si>
    <t>GSK211112ZVX203</t>
  </si>
  <si>
    <t>GSK211112MBR018</t>
  </si>
  <si>
    <t>GSK211112KFS635</t>
  </si>
  <si>
    <t>GSK211112GYI197</t>
  </si>
  <si>
    <t>GSK211112MHA271</t>
  </si>
  <si>
    <t>GSK211112SMF082</t>
  </si>
  <si>
    <t>GSK211112KTY702</t>
  </si>
  <si>
    <t>GSK211112PKM359</t>
  </si>
  <si>
    <t>GSK211112ICT048</t>
  </si>
  <si>
    <t>GSK211112ZFG985</t>
  </si>
  <si>
    <t>GSK211112QHO086</t>
  </si>
  <si>
    <t>GSK211112SPQ542</t>
  </si>
  <si>
    <t>DMD/2111/18/NVMP2674</t>
  </si>
  <si>
    <t>GSK211117XDS158</t>
  </si>
  <si>
    <t>GSK211118XBJ416</t>
  </si>
  <si>
    <t>12/11/2021 WAHYUDI</t>
  </si>
  <si>
    <t>DMD/2111/19/SPDB8152</t>
  </si>
  <si>
    <t>GSK211119HTK841</t>
  </si>
  <si>
    <t>GSK211119MQU038</t>
  </si>
  <si>
    <t>DMD/2111/22/URHM7693</t>
  </si>
  <si>
    <t>GSK211122PRW420</t>
  </si>
  <si>
    <t>GSK211122ZTL196</t>
  </si>
  <si>
    <t>GSK211122HVD783</t>
  </si>
  <si>
    <t>DMD/2111/26/YWES8630</t>
  </si>
  <si>
    <t>GSK211126OIN324</t>
  </si>
  <si>
    <t>GSK211126RNF476</t>
  </si>
  <si>
    <t>GSK211126BMN104</t>
  </si>
  <si>
    <t>GSK211126IEQ320</t>
  </si>
  <si>
    <t>GSK211126BRN154</t>
  </si>
  <si>
    <t>GSK211126UVT450</t>
  </si>
  <si>
    <t>GSK211126STN623</t>
  </si>
  <si>
    <t>GSK211126UQA429</t>
  </si>
  <si>
    <t>DMD/2111/27/YGLM4931</t>
  </si>
  <si>
    <t>GSK211127GLO568</t>
  </si>
  <si>
    <t>GSK211127IXL571</t>
  </si>
  <si>
    <t>GSK211127IQH029</t>
  </si>
  <si>
    <t>GSK211127AZX720</t>
  </si>
  <si>
    <t>DMD/2111/28/SKAB2819</t>
  </si>
  <si>
    <t>GSK211128MDH904</t>
  </si>
  <si>
    <t>GSK211128CGN094</t>
  </si>
  <si>
    <t>GSK211128ENA482</t>
  </si>
  <si>
    <t>GSK211128DLH901</t>
  </si>
  <si>
    <t>GSK211128UHX752</t>
  </si>
  <si>
    <t>DMD/2111/30/BYAO2836</t>
  </si>
  <si>
    <t>GSK211130TDK814</t>
  </si>
  <si>
    <t>GSK211130BFV685</t>
  </si>
  <si>
    <t>DMD/2111/30/DAMU4809</t>
  </si>
  <si>
    <t>GSK211127EJG805</t>
  </si>
  <si>
    <t>GSK211130TZU365</t>
  </si>
  <si>
    <t>GSK211130QLP437</t>
  </si>
  <si>
    <t xml:space="preserve"> 052/PCI/P1/XII/21</t>
  </si>
  <si>
    <t xml:space="preserve"> 13 Desember  21</t>
  </si>
  <si>
    <t>TERNATE</t>
  </si>
  <si>
    <t xml:space="preserve"> NOVEMBER 21</t>
  </si>
  <si>
    <t>PENGIRIMAN BARANG TUJUAN TERNATE</t>
  </si>
  <si>
    <t>PENGIRIMAN BARANG TUJUAN jakaTERNATE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</si>
  <si>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Enam Juta Delapan Ratus Dua Puluh Dealapn Ribu Lima Ratus Dua Puluh Tujuh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</si>
</sst>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9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7</xdr:col>
      <xdr:colOff>85725</xdr:colOff>
      <xdr:row>45</xdr:row>
      <xdr:rowOff>182279</xdr:rowOff>
    </xdr:from>
    <xdr:to>
      <xdr:col>10</xdr:col>
      <xdr:colOff>495300</xdr:colOff>
      <xdr:row>52</xdr:row>
      <xdr:rowOff>28574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0" y="141554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5" totalsRowShown="0" headerRowDxfId="192" dataDxfId="190" headerRowBorderDxfId="191">
  <tableColumns count="12">
    <tableColumn id="1" name="NOMOR" dataDxfId="189" dataCellStyle="Normal"/>
    <tableColumn id="3" name="TUJUAN" dataDxfId="188" dataCellStyle="Normal"/>
    <tableColumn id="16" name="Pick Up" dataDxfId="187"/>
    <tableColumn id="14" name="KAPAL" dataDxfId="186"/>
    <tableColumn id="15" name="ETD Kapal" dataDxfId="185"/>
    <tableColumn id="10" name="KETERANGAN" dataDxfId="184" dataCellStyle="Normal"/>
    <tableColumn id="5" name="P" dataDxfId="183" dataCellStyle="Normal"/>
    <tableColumn id="6" name="L" dataDxfId="182" dataCellStyle="Normal"/>
    <tableColumn id="7" name="T" dataDxfId="181" dataCellStyle="Normal"/>
    <tableColumn id="4" name="ACT KG" dataDxfId="180" dataCellStyle="Normal"/>
    <tableColumn id="8" name="KG VOLUME" dataDxfId="179" dataCellStyle="Normal"/>
    <tableColumn id="19" name="PEMBULATAN" dataDxfId="178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7891011234567891011" displayName="Table22457891011234567891011" ref="C2:N7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1" name="Table2245789101123456789101112" displayName="Table2245789101123456789101112" ref="C2:N7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6" totalsRowShown="0" headerRowDxfId="174" dataDxfId="172" headerRowBorderDxfId="173">
  <tableColumns count="12">
    <tableColumn id="1" name="NOMOR" dataDxfId="171" dataCellStyle="Normal"/>
    <tableColumn id="3" name="TUJUAN" dataDxfId="170" dataCellStyle="Normal"/>
    <tableColumn id="16" name="Pick Up" dataDxfId="169"/>
    <tableColumn id="14" name="KAPAL" dataDxfId="168"/>
    <tableColumn id="15" name="ETD Kapal" dataDxfId="167"/>
    <tableColumn id="10" name="KETERANGAN" dataDxfId="166" dataCellStyle="Normal"/>
    <tableColumn id="5" name="P" dataDxfId="165" dataCellStyle="Normal"/>
    <tableColumn id="6" name="L" dataDxfId="164" dataCellStyle="Normal"/>
    <tableColumn id="7" name="T" dataDxfId="163" dataCellStyle="Normal"/>
    <tableColumn id="4" name="ACT KG" dataDxfId="162" dataCellStyle="Normal"/>
    <tableColumn id="8" name="KG VOLUME" dataDxfId="161" dataCellStyle="Normal"/>
    <tableColumn id="19" name="PEMBULATAN" dataDxfId="16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23" totalsRowShown="0" headerRowDxfId="156" dataDxfId="154" headerRowBorderDxfId="155">
  <tableColumns count="12">
    <tableColumn id="1" name="NOMOR" dataDxfId="153" dataCellStyle="Normal"/>
    <tableColumn id="3" name="TUJUAN" dataDxfId="152" dataCellStyle="Normal"/>
    <tableColumn id="16" name="Pick Up" dataDxfId="151"/>
    <tableColumn id="14" name="KAPAL" dataDxfId="150"/>
    <tableColumn id="15" name="ETD Kapal" dataDxfId="149"/>
    <tableColumn id="10" name="KETERANGAN" dataDxfId="148" dataCellStyle="Normal"/>
    <tableColumn id="5" name="P" dataDxfId="147" dataCellStyle="Normal"/>
    <tableColumn id="6" name="L" dataDxfId="146" dataCellStyle="Normal"/>
    <tableColumn id="7" name="T" dataDxfId="145" dataCellStyle="Normal"/>
    <tableColumn id="4" name="ACT KG" dataDxfId="144" dataCellStyle="Normal"/>
    <tableColumn id="8" name="KG VOLUME" dataDxfId="143" dataCellStyle="Normal"/>
    <tableColumn id="19" name="PEMBULATAN" dataDxfId="14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18" totalsRowShown="0" headerRowDxfId="138" dataDxfId="136" headerRowBorderDxfId="137">
  <tableColumns count="12">
    <tableColumn id="1" name="NOMOR" dataDxfId="135" dataCellStyle="Normal"/>
    <tableColumn id="3" name="TUJUAN" dataDxfId="134" dataCellStyle="Normal"/>
    <tableColumn id="16" name="Pick Up" dataDxfId="133"/>
    <tableColumn id="14" name="KAPAL" dataDxfId="132"/>
    <tableColumn id="15" name="ETD Kapal" dataDxfId="131"/>
    <tableColumn id="10" name="KETERANGAN" dataDxfId="130" dataCellStyle="Normal"/>
    <tableColumn id="5" name="P" dataDxfId="129" dataCellStyle="Normal"/>
    <tableColumn id="6" name="L" dataDxfId="128" dataCellStyle="Normal"/>
    <tableColumn id="7" name="T" dataDxfId="127" dataCellStyle="Normal"/>
    <tableColumn id="4" name="ACT KG" dataDxfId="126" dataCellStyle="Normal"/>
    <tableColumn id="8" name="KG VOLUME" dataDxfId="125" dataCellStyle="Normal"/>
    <tableColumn id="19" name="PEMBULATAN" dataDxfId="12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4" totalsRowShown="0" headerRowDxfId="121" dataDxfId="119" headerRowBorderDxfId="120">
  <tableColumns count="12">
    <tableColumn id="1" name="NOMOR" dataDxfId="118" dataCellStyle="Normal"/>
    <tableColumn id="3" name="TUJUAN" dataDxfId="117" dataCellStyle="Normal"/>
    <tableColumn id="16" name="Pick Up" dataDxfId="116"/>
    <tableColumn id="14" name="KAPAL" dataDxfId="115"/>
    <tableColumn id="15" name="ETD Kapal" dataDxfId="114"/>
    <tableColumn id="10" name="KETERANGAN" dataDxfId="113" dataCellStyle="Normal"/>
    <tableColumn id="5" name="P" dataDxfId="112" dataCellStyle="Normal"/>
    <tableColumn id="6" name="L" dataDxfId="111" dataCellStyle="Normal"/>
    <tableColumn id="7" name="T" dataDxfId="110" dataCellStyle="Normal"/>
    <tableColumn id="4" name="ACT KG" dataDxfId="109" dataCellStyle="Normal"/>
    <tableColumn id="8" name="KG VOLUME" dataDxfId="108" dataCellStyle="Normal"/>
    <tableColumn id="19" name="PEMBULATAN" dataDxfId="107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4" totalsRowShown="0" headerRowDxfId="104" dataDxfId="102" headerRowBorderDxfId="103">
  <tableColumns count="12">
    <tableColumn id="1" name="NOMOR" dataDxfId="101" dataCellStyle="Normal"/>
    <tableColumn id="3" name="TUJUAN" dataDxfId="100" dataCellStyle="Normal"/>
    <tableColumn id="16" name="Pick Up" dataDxfId="99"/>
    <tableColumn id="14" name="KAPAL" dataDxfId="98"/>
    <tableColumn id="15" name="ETD Kapal" dataDxfId="97"/>
    <tableColumn id="10" name="KETERANGAN" dataDxfId="96" dataCellStyle="Normal"/>
    <tableColumn id="5" name="P" dataDxfId="95" dataCellStyle="Normal"/>
    <tableColumn id="6" name="L" dataDxfId="94" dataCellStyle="Normal"/>
    <tableColumn id="7" name="T" dataDxfId="93" dataCellStyle="Normal"/>
    <tableColumn id="4" name="ACT KG" dataDxfId="92" dataCellStyle="Normal"/>
    <tableColumn id="8" name="KG VOLUME" dataDxfId="91" dataCellStyle="Normal"/>
    <tableColumn id="19" name="PEMBULATAN" dataDxfId="90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5" totalsRowShown="0" headerRowDxfId="86" dataDxfId="84" headerRowBorderDxfId="85">
  <tableColumns count="12">
    <tableColumn id="1" name="NOMOR" dataDxfId="83" dataCellStyle="Normal"/>
    <tableColumn id="3" name="TUJUAN" dataDxfId="82" dataCellStyle="Normal"/>
    <tableColumn id="16" name="Pick Up" dataDxfId="81"/>
    <tableColumn id="14" name="KAPAL" dataDxfId="80"/>
    <tableColumn id="15" name="ETD Kapal" dataDxfId="79"/>
    <tableColumn id="10" name="KETERANGAN" dataDxfId="78" dataCellStyle="Normal"/>
    <tableColumn id="5" name="P" dataDxfId="77" dataCellStyle="Normal"/>
    <tableColumn id="6" name="L" dataDxfId="76" dataCellStyle="Normal"/>
    <tableColumn id="7" name="T" dataDxfId="75" dataCellStyle="Normal"/>
    <tableColumn id="4" name="ACT KG" dataDxfId="74" dataCellStyle="Normal"/>
    <tableColumn id="8" name="KG VOLUME" dataDxfId="73" dataCellStyle="Normal"/>
    <tableColumn id="19" name="PEMBULATAN" dataDxfId="72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789101123456789" displayName="Table2245789101123456789" ref="C2:N10" totalsRowShown="0" headerRowDxfId="68" dataDxfId="66" headerRowBorderDxfId="67">
  <tableColumns count="12">
    <tableColumn id="1" name="NOMOR" dataDxfId="65" dataCellStyle="Normal"/>
    <tableColumn id="3" name="TUJUAN" dataDxfId="64" dataCellStyle="Normal"/>
    <tableColumn id="16" name="Pick Up" dataDxfId="63"/>
    <tableColumn id="14" name="KAPAL" dataDxfId="62"/>
    <tableColumn id="15" name="ETD Kapal" dataDxfId="61"/>
    <tableColumn id="10" name="KETERANGAN" dataDxfId="60" dataCellStyle="Normal"/>
    <tableColumn id="5" name="P" dataDxfId="59" dataCellStyle="Normal"/>
    <tableColumn id="6" name="L" dataDxfId="58" dataCellStyle="Normal"/>
    <tableColumn id="7" name="T" dataDxfId="57" dataCellStyle="Normal"/>
    <tableColumn id="4" name="ACT KG" dataDxfId="56" dataCellStyle="Normal"/>
    <tableColumn id="8" name="KG VOLUME" dataDxfId="55" dataCellStyle="Normal"/>
    <tableColumn id="19" name="PEMBULATAN" dataDxfId="54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78910112345678910" displayName="Table224578910112345678910" ref="C2:N6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53"/>
  <sheetViews>
    <sheetView tabSelected="1" topLeftCell="A26" workbookViewId="0">
      <selection activeCell="E35" sqref="E35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6" t="s">
        <v>14</v>
      </c>
      <c r="B10" s="107"/>
      <c r="C10" s="107"/>
      <c r="D10" s="107"/>
      <c r="E10" s="107"/>
      <c r="F10" s="107"/>
      <c r="G10" s="107"/>
      <c r="H10" s="107"/>
      <c r="I10" s="107"/>
      <c r="J10" s="108"/>
    </row>
    <row r="12" spans="1:10" x14ac:dyDescent="0.25">
      <c r="A12" s="18" t="s">
        <v>15</v>
      </c>
      <c r="B12" s="18" t="s">
        <v>16</v>
      </c>
      <c r="G12" s="101" t="s">
        <v>49</v>
      </c>
      <c r="H12" s="101"/>
      <c r="I12" s="23" t="s">
        <v>17</v>
      </c>
      <c r="J12" s="24" t="s">
        <v>147</v>
      </c>
    </row>
    <row r="13" spans="1:10" x14ac:dyDescent="0.25">
      <c r="G13" s="101" t="s">
        <v>18</v>
      </c>
      <c r="H13" s="101"/>
      <c r="I13" s="23" t="s">
        <v>17</v>
      </c>
      <c r="J13" s="25" t="s">
        <v>148</v>
      </c>
    </row>
    <row r="14" spans="1:10" x14ac:dyDescent="0.25">
      <c r="G14" s="101" t="s">
        <v>50</v>
      </c>
      <c r="H14" s="101"/>
      <c r="I14" s="23" t="s">
        <v>17</v>
      </c>
      <c r="J14" s="18" t="s">
        <v>149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150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9" t="s">
        <v>28</v>
      </c>
      <c r="I17" s="110"/>
      <c r="J17" s="29" t="s">
        <v>29</v>
      </c>
    </row>
    <row r="18" spans="1:12" ht="48" customHeight="1" x14ac:dyDescent="0.25">
      <c r="A18" s="30">
        <v>1</v>
      </c>
      <c r="B18" s="31">
        <f>'402321'!E3</f>
        <v>44503</v>
      </c>
      <c r="C18" s="84">
        <f>'402321'!A3</f>
        <v>402321</v>
      </c>
      <c r="D18" s="32" t="s">
        <v>152</v>
      </c>
      <c r="E18" s="32" t="s">
        <v>60</v>
      </c>
      <c r="F18" s="33">
        <v>3</v>
      </c>
      <c r="G18" s="98">
        <f>'402321'!N6</f>
        <v>150</v>
      </c>
      <c r="H18" s="102">
        <v>14000</v>
      </c>
      <c r="I18" s="103"/>
      <c r="J18" s="34">
        <f>G18*H18</f>
        <v>2100000</v>
      </c>
      <c r="L18"/>
    </row>
    <row r="19" spans="1:12" ht="48" customHeight="1" x14ac:dyDescent="0.25">
      <c r="A19" s="30">
        <f>A18+1</f>
        <v>2</v>
      </c>
      <c r="B19" s="31">
        <f>'402348'!E3</f>
        <v>44509</v>
      </c>
      <c r="C19" s="84">
        <f>'402348'!A3</f>
        <v>402348</v>
      </c>
      <c r="D19" s="32" t="s">
        <v>151</v>
      </c>
      <c r="E19" s="32" t="s">
        <v>60</v>
      </c>
      <c r="F19" s="33">
        <v>4</v>
      </c>
      <c r="G19" s="99">
        <f>'402348'!N7</f>
        <v>188.108</v>
      </c>
      <c r="H19" s="102">
        <v>14000</v>
      </c>
      <c r="I19" s="103"/>
      <c r="J19" s="34">
        <f t="shared" ref="J19:J28" si="0">G19*H19</f>
        <v>2633512</v>
      </c>
      <c r="L19"/>
    </row>
    <row r="20" spans="1:12" ht="48" customHeight="1" x14ac:dyDescent="0.25">
      <c r="A20" s="30">
        <f t="shared" ref="A20:A28" si="1">A19+1</f>
        <v>3</v>
      </c>
      <c r="B20" s="31">
        <f>'403856'!E3</f>
        <v>44511</v>
      </c>
      <c r="C20" s="84">
        <f>'403856'!A3</f>
        <v>403856</v>
      </c>
      <c r="D20" s="32" t="s">
        <v>151</v>
      </c>
      <c r="E20" s="32" t="s">
        <v>60</v>
      </c>
      <c r="F20" s="33">
        <v>21</v>
      </c>
      <c r="G20" s="99">
        <f>'403856'!N24</f>
        <v>361.67100000000005</v>
      </c>
      <c r="H20" s="102">
        <v>14000</v>
      </c>
      <c r="I20" s="103"/>
      <c r="J20" s="34">
        <f t="shared" si="0"/>
        <v>5063394.0000000009</v>
      </c>
      <c r="L20"/>
    </row>
    <row r="21" spans="1:12" ht="48" customHeight="1" x14ac:dyDescent="0.25">
      <c r="A21" s="30">
        <f t="shared" si="1"/>
        <v>4</v>
      </c>
      <c r="B21" s="31">
        <f>'403862'!E3</f>
        <v>44512</v>
      </c>
      <c r="C21" s="84">
        <f>'403862'!A3</f>
        <v>403862</v>
      </c>
      <c r="D21" s="32" t="s">
        <v>151</v>
      </c>
      <c r="E21" s="32" t="s">
        <v>60</v>
      </c>
      <c r="F21" s="33">
        <v>16</v>
      </c>
      <c r="G21" s="99">
        <f>'403862'!N19</f>
        <v>400.55800000000005</v>
      </c>
      <c r="H21" s="102">
        <v>14000</v>
      </c>
      <c r="I21" s="103"/>
      <c r="J21" s="34">
        <f>G21*H21</f>
        <v>5607812.0000000009</v>
      </c>
      <c r="L21"/>
    </row>
    <row r="22" spans="1:12" ht="48" customHeight="1" x14ac:dyDescent="0.25">
      <c r="A22" s="30">
        <f t="shared" si="1"/>
        <v>5</v>
      </c>
      <c r="B22" s="31">
        <f>'403886'!E3</f>
        <v>44518</v>
      </c>
      <c r="C22" s="84">
        <f>'403886'!A3</f>
        <v>403886</v>
      </c>
      <c r="D22" s="32" t="s">
        <v>151</v>
      </c>
      <c r="E22" s="32" t="s">
        <v>60</v>
      </c>
      <c r="F22" s="33">
        <v>2</v>
      </c>
      <c r="G22" s="99">
        <v>100</v>
      </c>
      <c r="H22" s="102">
        <v>14000</v>
      </c>
      <c r="I22" s="103"/>
      <c r="J22" s="34">
        <f>G22*H22</f>
        <v>1400000</v>
      </c>
      <c r="L22"/>
    </row>
    <row r="23" spans="1:12" ht="48" customHeight="1" x14ac:dyDescent="0.25">
      <c r="A23" s="30">
        <f t="shared" si="1"/>
        <v>6</v>
      </c>
      <c r="B23" s="31">
        <f>'403892'!E3</f>
        <v>44519</v>
      </c>
      <c r="C23" s="84">
        <f>'403892'!A3</f>
        <v>403892</v>
      </c>
      <c r="D23" s="32" t="s">
        <v>151</v>
      </c>
      <c r="E23" s="32" t="s">
        <v>60</v>
      </c>
      <c r="F23" s="33">
        <v>2</v>
      </c>
      <c r="G23" s="99">
        <v>100</v>
      </c>
      <c r="H23" s="102">
        <v>14000</v>
      </c>
      <c r="I23" s="103"/>
      <c r="J23" s="34">
        <f>G23*H23</f>
        <v>1400000</v>
      </c>
      <c r="L23"/>
    </row>
    <row r="24" spans="1:12" ht="48" customHeight="1" x14ac:dyDescent="0.25">
      <c r="A24" s="30">
        <f t="shared" si="1"/>
        <v>7</v>
      </c>
      <c r="B24" s="31">
        <f>'406075'!E3</f>
        <v>44522</v>
      </c>
      <c r="C24" s="84">
        <f>'406075'!A3</f>
        <v>406075</v>
      </c>
      <c r="D24" s="32" t="s">
        <v>151</v>
      </c>
      <c r="E24" s="32" t="s">
        <v>60</v>
      </c>
      <c r="F24" s="33">
        <v>3</v>
      </c>
      <c r="G24" s="99">
        <v>100</v>
      </c>
      <c r="H24" s="102">
        <v>14000</v>
      </c>
      <c r="I24" s="103"/>
      <c r="J24" s="34">
        <f t="shared" si="0"/>
        <v>1400000</v>
      </c>
      <c r="L24"/>
    </row>
    <row r="25" spans="1:12" ht="48" customHeight="1" x14ac:dyDescent="0.25">
      <c r="A25" s="30">
        <f t="shared" si="1"/>
        <v>8</v>
      </c>
      <c r="B25" s="31">
        <f>'403718'!E3</f>
        <v>44526</v>
      </c>
      <c r="C25" s="84">
        <f>'403718'!A3</f>
        <v>403718</v>
      </c>
      <c r="D25" s="32" t="s">
        <v>151</v>
      </c>
      <c r="E25" s="32" t="s">
        <v>60</v>
      </c>
      <c r="F25" s="33">
        <v>8</v>
      </c>
      <c r="G25" s="99">
        <f>'403718'!N11</f>
        <v>372.95500000000004</v>
      </c>
      <c r="H25" s="102">
        <v>14000</v>
      </c>
      <c r="I25" s="103"/>
      <c r="J25" s="34">
        <f t="shared" si="0"/>
        <v>5221370.0000000009</v>
      </c>
      <c r="L25"/>
    </row>
    <row r="26" spans="1:12" ht="48" customHeight="1" x14ac:dyDescent="0.25">
      <c r="A26" s="30">
        <f t="shared" si="1"/>
        <v>9</v>
      </c>
      <c r="B26" s="31">
        <f>'403722'!E3</f>
        <v>44527</v>
      </c>
      <c r="C26" s="84">
        <f>'403892'!A3</f>
        <v>403892</v>
      </c>
      <c r="D26" s="32" t="s">
        <v>151</v>
      </c>
      <c r="E26" s="32" t="s">
        <v>60</v>
      </c>
      <c r="F26" s="33">
        <v>4</v>
      </c>
      <c r="G26" s="99">
        <f>'403722'!N7</f>
        <v>151.68124999999998</v>
      </c>
      <c r="H26" s="102">
        <v>14000</v>
      </c>
      <c r="I26" s="103"/>
      <c r="J26" s="34">
        <f t="shared" si="0"/>
        <v>2123537.4999999995</v>
      </c>
      <c r="L26"/>
    </row>
    <row r="27" spans="1:12" ht="48" customHeight="1" x14ac:dyDescent="0.25">
      <c r="A27" s="30">
        <f t="shared" si="1"/>
        <v>10</v>
      </c>
      <c r="B27" s="31">
        <f>'403731'!E3</f>
        <v>44528</v>
      </c>
      <c r="C27" s="84">
        <f>'403731'!A3</f>
        <v>403731</v>
      </c>
      <c r="D27" s="32" t="s">
        <v>151</v>
      </c>
      <c r="E27" s="32" t="s">
        <v>60</v>
      </c>
      <c r="F27" s="33">
        <v>5</v>
      </c>
      <c r="G27" s="99">
        <v>100</v>
      </c>
      <c r="H27" s="102">
        <v>14000</v>
      </c>
      <c r="I27" s="103"/>
      <c r="J27" s="34">
        <f t="shared" si="0"/>
        <v>1400000</v>
      </c>
      <c r="L27"/>
    </row>
    <row r="28" spans="1:12" ht="48" customHeight="1" x14ac:dyDescent="0.25">
      <c r="A28" s="30">
        <f t="shared" si="1"/>
        <v>11</v>
      </c>
      <c r="B28" s="31">
        <f>'403739'!E3</f>
        <v>44530</v>
      </c>
      <c r="C28" s="84">
        <f>'403739'!A3</f>
        <v>403739</v>
      </c>
      <c r="D28" s="32" t="s">
        <v>151</v>
      </c>
      <c r="E28" s="32" t="s">
        <v>60</v>
      </c>
      <c r="F28" s="33">
        <v>5</v>
      </c>
      <c r="G28" s="99">
        <f>'403739'!N8</f>
        <v>125.7825</v>
      </c>
      <c r="H28" s="102">
        <v>14000</v>
      </c>
      <c r="I28" s="103"/>
      <c r="J28" s="34">
        <f t="shared" si="0"/>
        <v>1760955</v>
      </c>
      <c r="L28"/>
    </row>
    <row r="29" spans="1:12" ht="32.25" customHeight="1" thickBot="1" x14ac:dyDescent="0.3">
      <c r="A29" s="111" t="s">
        <v>30</v>
      </c>
      <c r="B29" s="112"/>
      <c r="C29" s="112"/>
      <c r="D29" s="112"/>
      <c r="E29" s="112"/>
      <c r="F29" s="112"/>
      <c r="G29" s="112"/>
      <c r="H29" s="112"/>
      <c r="I29" s="113"/>
      <c r="J29" s="35">
        <f>SUM(J18:J28)</f>
        <v>30110580.5</v>
      </c>
      <c r="L29" s="82"/>
    </row>
    <row r="30" spans="1:12" x14ac:dyDescent="0.25">
      <c r="A30" s="114"/>
      <c r="B30" s="114"/>
      <c r="C30" s="36"/>
      <c r="D30" s="36"/>
      <c r="E30" s="36"/>
      <c r="F30" s="36"/>
      <c r="G30" s="36"/>
      <c r="H30" s="37"/>
      <c r="I30" s="37"/>
      <c r="J30" s="38"/>
    </row>
    <row r="31" spans="1:12" x14ac:dyDescent="0.25">
      <c r="A31" s="85"/>
      <c r="B31" s="85"/>
      <c r="C31" s="85"/>
      <c r="D31" s="85"/>
      <c r="E31" s="85"/>
      <c r="F31" s="85"/>
      <c r="G31" s="39" t="s">
        <v>51</v>
      </c>
      <c r="H31" s="39"/>
      <c r="I31" s="37"/>
      <c r="J31" s="38">
        <f>J29*10%</f>
        <v>3011058.0500000003</v>
      </c>
      <c r="L31" s="40"/>
    </row>
    <row r="32" spans="1:12" x14ac:dyDescent="0.25">
      <c r="A32" s="85"/>
      <c r="B32" s="85"/>
      <c r="C32" s="85"/>
      <c r="D32" s="85"/>
      <c r="E32" s="85"/>
      <c r="F32" s="85"/>
      <c r="G32" s="92" t="s">
        <v>52</v>
      </c>
      <c r="H32" s="92"/>
      <c r="I32" s="93"/>
      <c r="J32" s="95">
        <f>J29-J31</f>
        <v>27099522.449999999</v>
      </c>
      <c r="L32" s="40"/>
    </row>
    <row r="33" spans="1:10" x14ac:dyDescent="0.25">
      <c r="A33" s="85"/>
      <c r="B33" s="85"/>
      <c r="C33" s="85"/>
      <c r="D33" s="85"/>
      <c r="E33" s="85"/>
      <c r="F33" s="85"/>
      <c r="G33" s="39" t="s">
        <v>31</v>
      </c>
      <c r="H33" s="39"/>
      <c r="I33" s="40" t="e">
        <f>#REF!*1%</f>
        <v>#REF!</v>
      </c>
      <c r="J33" s="38">
        <f>J32*1%</f>
        <v>270995.22450000001</v>
      </c>
    </row>
    <row r="34" spans="1:10" ht="16.5" thickBot="1" x14ac:dyDescent="0.3">
      <c r="A34" s="85"/>
      <c r="B34" s="85"/>
      <c r="C34" s="85"/>
      <c r="D34" s="85"/>
      <c r="E34" s="85"/>
      <c r="F34" s="85"/>
      <c r="G34" s="94" t="s">
        <v>54</v>
      </c>
      <c r="H34" s="94"/>
      <c r="I34" s="41">
        <f>I30*10%</f>
        <v>0</v>
      </c>
      <c r="J34" s="41">
        <f>J32*2%</f>
        <v>541990.44900000002</v>
      </c>
    </row>
    <row r="35" spans="1:10" x14ac:dyDescent="0.25">
      <c r="E35" s="17"/>
      <c r="F35" s="17"/>
      <c r="G35" s="42" t="s">
        <v>55</v>
      </c>
      <c r="H35" s="42"/>
      <c r="I35" s="43" t="e">
        <f>I29+I33</f>
        <v>#REF!</v>
      </c>
      <c r="J35" s="43">
        <f>J32+J33-J34</f>
        <v>26828527.225499999</v>
      </c>
    </row>
    <row r="36" spans="1:10" x14ac:dyDescent="0.25">
      <c r="E36" s="17"/>
      <c r="F36" s="17"/>
      <c r="G36" s="42"/>
      <c r="H36" s="42"/>
      <c r="I36" s="43"/>
      <c r="J36" s="43"/>
    </row>
    <row r="37" spans="1:10" x14ac:dyDescent="0.25">
      <c r="A37" s="17" t="s">
        <v>153</v>
      </c>
      <c r="D37" s="17"/>
      <c r="E37" s="17"/>
      <c r="F37" s="17"/>
      <c r="G37" s="17"/>
      <c r="H37" s="42"/>
      <c r="I37" s="42"/>
      <c r="J37" s="43"/>
    </row>
    <row r="38" spans="1:10" x14ac:dyDescent="0.25">
      <c r="A38" s="44"/>
      <c r="D38" s="17"/>
      <c r="E38" s="17"/>
      <c r="F38" s="17"/>
      <c r="G38" s="17"/>
      <c r="H38" s="42"/>
      <c r="I38" s="42"/>
      <c r="J38" s="43"/>
    </row>
    <row r="39" spans="1:10" x14ac:dyDescent="0.25">
      <c r="D39" s="17"/>
      <c r="E39" s="17"/>
      <c r="F39" s="17"/>
      <c r="G39" s="17"/>
      <c r="H39" s="42"/>
      <c r="I39" s="42"/>
      <c r="J39" s="43"/>
    </row>
    <row r="40" spans="1:10" x14ac:dyDescent="0.25">
      <c r="A40" s="45" t="s">
        <v>33</v>
      </c>
    </row>
    <row r="41" spans="1:10" x14ac:dyDescent="0.25">
      <c r="A41" s="46" t="s">
        <v>34</v>
      </c>
      <c r="B41" s="47"/>
      <c r="C41" s="47"/>
      <c r="D41" s="48"/>
      <c r="E41" s="48"/>
      <c r="F41" s="48"/>
      <c r="G41" s="48"/>
    </row>
    <row r="42" spans="1:10" x14ac:dyDescent="0.25">
      <c r="A42" s="46" t="s">
        <v>35</v>
      </c>
      <c r="B42" s="47"/>
      <c r="C42" s="47"/>
      <c r="D42" s="48"/>
      <c r="E42" s="48"/>
      <c r="F42" s="48"/>
      <c r="G42" s="48"/>
    </row>
    <row r="43" spans="1:10" x14ac:dyDescent="0.25">
      <c r="A43" s="49" t="s">
        <v>36</v>
      </c>
      <c r="B43" s="50"/>
      <c r="C43" s="50"/>
      <c r="D43" s="48"/>
      <c r="E43" s="48"/>
      <c r="F43" s="48"/>
      <c r="G43" s="48"/>
    </row>
    <row r="44" spans="1:10" x14ac:dyDescent="0.25">
      <c r="A44" s="51" t="s">
        <v>8</v>
      </c>
      <c r="B44" s="52"/>
      <c r="C44" s="52"/>
      <c r="D44" s="48"/>
      <c r="E44" s="48"/>
      <c r="F44" s="48"/>
      <c r="G44" s="48"/>
    </row>
    <row r="45" spans="1:10" x14ac:dyDescent="0.25">
      <c r="A45" s="53"/>
      <c r="B45" s="53"/>
      <c r="C45" s="53"/>
    </row>
    <row r="46" spans="1:10" x14ac:dyDescent="0.25">
      <c r="H46" s="54" t="s">
        <v>37</v>
      </c>
      <c r="I46" s="104" t="str">
        <f>+J13</f>
        <v xml:space="preserve"> 13 Desember  21</v>
      </c>
      <c r="J46" s="105"/>
    </row>
    <row r="50" spans="8:10" ht="18" customHeight="1" x14ac:dyDescent="0.25"/>
    <row r="51" spans="8:10" ht="17.25" customHeight="1" x14ac:dyDescent="0.25"/>
    <row r="53" spans="8:10" x14ac:dyDescent="0.25">
      <c r="H53" s="100" t="s">
        <v>38</v>
      </c>
      <c r="I53" s="100"/>
      <c r="J53" s="100"/>
    </row>
  </sheetData>
  <mergeCells count="20">
    <mergeCell ref="A10:J10"/>
    <mergeCell ref="H17:I17"/>
    <mergeCell ref="H18:I18"/>
    <mergeCell ref="A29:I29"/>
    <mergeCell ref="A30:B30"/>
    <mergeCell ref="H19:I19"/>
    <mergeCell ref="H20:I20"/>
    <mergeCell ref="H24:I24"/>
    <mergeCell ref="H22:I22"/>
    <mergeCell ref="H21:I21"/>
    <mergeCell ref="H25:I25"/>
    <mergeCell ref="H28:I28"/>
    <mergeCell ref="H23:I23"/>
    <mergeCell ref="H53:J53"/>
    <mergeCell ref="G14:H14"/>
    <mergeCell ref="G13:H13"/>
    <mergeCell ref="G12:H12"/>
    <mergeCell ref="H26:I26"/>
    <mergeCell ref="H27:I27"/>
    <mergeCell ref="I46:J4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8" sqref="O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403722</v>
      </c>
      <c r="B3" s="74" t="s">
        <v>129</v>
      </c>
      <c r="C3" s="9" t="s">
        <v>130</v>
      </c>
      <c r="D3" s="76" t="s">
        <v>60</v>
      </c>
      <c r="E3" s="13">
        <v>44527</v>
      </c>
      <c r="F3" s="76" t="s">
        <v>61</v>
      </c>
      <c r="G3" s="13">
        <v>44542</v>
      </c>
      <c r="H3" s="10" t="s">
        <v>112</v>
      </c>
      <c r="I3" s="1">
        <v>41</v>
      </c>
      <c r="J3" s="1">
        <v>30</v>
      </c>
      <c r="K3" s="1">
        <v>14</v>
      </c>
      <c r="L3" s="1">
        <v>10</v>
      </c>
      <c r="M3" s="80">
        <v>4.3049999999999997</v>
      </c>
      <c r="N3" s="8">
        <v>11</v>
      </c>
      <c r="O3" s="64">
        <v>14000</v>
      </c>
      <c r="P3" s="65">
        <f>Table224578910112345678910[[#This Row],[PEMBULATAN]]*O3</f>
        <v>154000</v>
      </c>
    </row>
    <row r="4" spans="1:16" ht="26.25" customHeight="1" x14ac:dyDescent="0.2">
      <c r="A4" s="14"/>
      <c r="B4" s="75"/>
      <c r="C4" s="9" t="s">
        <v>131</v>
      </c>
      <c r="D4" s="76" t="s">
        <v>60</v>
      </c>
      <c r="E4" s="13">
        <v>44527</v>
      </c>
      <c r="F4" s="76" t="s">
        <v>61</v>
      </c>
      <c r="G4" s="13">
        <v>44542</v>
      </c>
      <c r="H4" s="10" t="s">
        <v>112</v>
      </c>
      <c r="I4" s="1">
        <v>61</v>
      </c>
      <c r="J4" s="1">
        <v>41</v>
      </c>
      <c r="K4" s="1">
        <v>75</v>
      </c>
      <c r="L4" s="1">
        <v>31</v>
      </c>
      <c r="M4" s="80">
        <v>46.893749999999997</v>
      </c>
      <c r="N4" s="96">
        <v>46.893749999999997</v>
      </c>
      <c r="O4" s="64">
        <v>14000</v>
      </c>
      <c r="P4" s="65">
        <f>Table224578910112345678910[[#This Row],[PEMBULATAN]]*O4</f>
        <v>656512.5</v>
      </c>
    </row>
    <row r="5" spans="1:16" ht="26.25" customHeight="1" x14ac:dyDescent="0.2">
      <c r="A5" s="14"/>
      <c r="B5" s="14"/>
      <c r="C5" s="9" t="s">
        <v>132</v>
      </c>
      <c r="D5" s="76" t="s">
        <v>60</v>
      </c>
      <c r="E5" s="13">
        <v>44527</v>
      </c>
      <c r="F5" s="76" t="s">
        <v>61</v>
      </c>
      <c r="G5" s="13">
        <v>44542</v>
      </c>
      <c r="H5" s="10" t="s">
        <v>112</v>
      </c>
      <c r="I5" s="1">
        <v>61</v>
      </c>
      <c r="J5" s="1">
        <v>41</v>
      </c>
      <c r="K5" s="1">
        <v>75</v>
      </c>
      <c r="L5" s="1">
        <v>31</v>
      </c>
      <c r="M5" s="80">
        <v>46.893749999999997</v>
      </c>
      <c r="N5" s="96">
        <v>46.893749999999997</v>
      </c>
      <c r="O5" s="64">
        <v>14000</v>
      </c>
      <c r="P5" s="65">
        <f>Table224578910112345678910[[#This Row],[PEMBULATAN]]*O5</f>
        <v>656512.5</v>
      </c>
    </row>
    <row r="6" spans="1:16" ht="26.25" customHeight="1" x14ac:dyDescent="0.2">
      <c r="A6" s="14"/>
      <c r="B6" s="14"/>
      <c r="C6" s="73" t="s">
        <v>133</v>
      </c>
      <c r="D6" s="78" t="s">
        <v>60</v>
      </c>
      <c r="E6" s="13">
        <v>44527</v>
      </c>
      <c r="F6" s="76" t="s">
        <v>61</v>
      </c>
      <c r="G6" s="13">
        <v>44542</v>
      </c>
      <c r="H6" s="77" t="s">
        <v>112</v>
      </c>
      <c r="I6" s="16">
        <v>61</v>
      </c>
      <c r="J6" s="16">
        <v>41</v>
      </c>
      <c r="K6" s="16">
        <v>75</v>
      </c>
      <c r="L6" s="16">
        <v>31</v>
      </c>
      <c r="M6" s="81">
        <v>46.893749999999997</v>
      </c>
      <c r="N6" s="96">
        <v>46.893749999999997</v>
      </c>
      <c r="O6" s="64">
        <v>14000</v>
      </c>
      <c r="P6" s="65">
        <f>Table224578910112345678910[[#This Row],[PEMBULATAN]]*O6</f>
        <v>656512.5</v>
      </c>
    </row>
    <row r="7" spans="1:16" ht="22.5" customHeight="1" x14ac:dyDescent="0.2">
      <c r="A7" s="115" t="s">
        <v>30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7"/>
      <c r="M7" s="79">
        <f>SUBTOTAL(109,Table224578910112345678910[KG VOLUME])</f>
        <v>144.98624999999998</v>
      </c>
      <c r="N7" s="68">
        <f>SUM(N3:N6)</f>
        <v>151.68124999999998</v>
      </c>
      <c r="O7" s="118">
        <f>SUM(P3:P6)</f>
        <v>2123537.5</v>
      </c>
      <c r="P7" s="119"/>
    </row>
    <row r="8" spans="1:16" ht="18" customHeight="1" x14ac:dyDescent="0.2">
      <c r="A8" s="86"/>
      <c r="B8" s="56" t="s">
        <v>42</v>
      </c>
      <c r="C8" s="55"/>
      <c r="D8" s="57" t="s">
        <v>43</v>
      </c>
      <c r="E8" s="86"/>
      <c r="F8" s="86"/>
      <c r="G8" s="86"/>
      <c r="H8" s="86"/>
      <c r="I8" s="86"/>
      <c r="J8" s="86"/>
      <c r="K8" s="86"/>
      <c r="L8" s="86"/>
      <c r="M8" s="87"/>
      <c r="N8" s="88" t="s">
        <v>51</v>
      </c>
      <c r="O8" s="89"/>
      <c r="P8" s="89">
        <f>O7*10%</f>
        <v>212353.75</v>
      </c>
    </row>
    <row r="9" spans="1:16" ht="18" customHeight="1" thickBot="1" x14ac:dyDescent="0.25">
      <c r="A9" s="86"/>
      <c r="B9" s="56"/>
      <c r="C9" s="55"/>
      <c r="D9" s="57"/>
      <c r="E9" s="86"/>
      <c r="F9" s="86"/>
      <c r="G9" s="86"/>
      <c r="H9" s="86"/>
      <c r="I9" s="86"/>
      <c r="J9" s="86"/>
      <c r="K9" s="86"/>
      <c r="L9" s="86"/>
      <c r="M9" s="87"/>
      <c r="N9" s="90" t="s">
        <v>52</v>
      </c>
      <c r="O9" s="91"/>
      <c r="P9" s="91">
        <f>O7-P8</f>
        <v>1911183.75</v>
      </c>
    </row>
    <row r="10" spans="1:16" ht="18" customHeight="1" x14ac:dyDescent="0.2">
      <c r="A10" s="11"/>
      <c r="H10" s="63"/>
      <c r="N10" s="62" t="s">
        <v>31</v>
      </c>
      <c r="P10" s="69">
        <f>P9*1%</f>
        <v>19111.837500000001</v>
      </c>
    </row>
    <row r="11" spans="1:16" ht="18" customHeight="1" thickBot="1" x14ac:dyDescent="0.25">
      <c r="A11" s="11"/>
      <c r="H11" s="63"/>
      <c r="N11" s="62" t="s">
        <v>53</v>
      </c>
      <c r="P11" s="71">
        <f>P9*2%</f>
        <v>38223.675000000003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1892071.9124999999</v>
      </c>
    </row>
    <row r="14" spans="1:16" x14ac:dyDescent="0.2">
      <c r="A14" s="11"/>
      <c r="H14" s="63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53" priority="2"/>
  </conditionalFormatting>
  <conditionalFormatting sqref="B4">
    <cfRule type="duplicateValues" dxfId="52" priority="1"/>
  </conditionalFormatting>
  <conditionalFormatting sqref="B5:B6">
    <cfRule type="duplicateValues" dxfId="51" priority="3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9" sqref="O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403731</v>
      </c>
      <c r="B3" s="74" t="s">
        <v>134</v>
      </c>
      <c r="C3" s="9" t="s">
        <v>135</v>
      </c>
      <c r="D3" s="76" t="s">
        <v>60</v>
      </c>
      <c r="E3" s="13">
        <v>44528</v>
      </c>
      <c r="F3" s="76" t="s">
        <v>61</v>
      </c>
      <c r="G3" s="13">
        <v>44542</v>
      </c>
      <c r="H3" s="10" t="s">
        <v>112</v>
      </c>
      <c r="I3" s="1">
        <v>66</v>
      </c>
      <c r="J3" s="1">
        <v>57</v>
      </c>
      <c r="K3" s="1">
        <v>21</v>
      </c>
      <c r="L3" s="1">
        <v>13</v>
      </c>
      <c r="M3" s="80">
        <v>19.750499999999999</v>
      </c>
      <c r="N3" s="96">
        <v>19.750499999999999</v>
      </c>
      <c r="O3" s="64">
        <v>14000</v>
      </c>
      <c r="P3" s="65">
        <f>Table22457891011234567891011[[#This Row],[PEMBULATAN]]*O3</f>
        <v>276507</v>
      </c>
    </row>
    <row r="4" spans="1:16" ht="26.25" customHeight="1" x14ac:dyDescent="0.2">
      <c r="A4" s="14"/>
      <c r="B4" s="75"/>
      <c r="C4" s="9" t="s">
        <v>136</v>
      </c>
      <c r="D4" s="76" t="s">
        <v>60</v>
      </c>
      <c r="E4" s="13">
        <v>44528</v>
      </c>
      <c r="F4" s="76" t="s">
        <v>61</v>
      </c>
      <c r="G4" s="13">
        <v>44542</v>
      </c>
      <c r="H4" s="10" t="s">
        <v>112</v>
      </c>
      <c r="I4" s="1">
        <v>66</v>
      </c>
      <c r="J4" s="1">
        <v>57</v>
      </c>
      <c r="K4" s="1">
        <v>21</v>
      </c>
      <c r="L4" s="1">
        <v>13</v>
      </c>
      <c r="M4" s="80">
        <v>19.750499999999999</v>
      </c>
      <c r="N4" s="96">
        <v>19.750499999999999</v>
      </c>
      <c r="O4" s="64">
        <v>14000</v>
      </c>
      <c r="P4" s="65">
        <f>Table22457891011234567891011[[#This Row],[PEMBULATAN]]*O4</f>
        <v>276507</v>
      </c>
    </row>
    <row r="5" spans="1:16" ht="26.25" customHeight="1" x14ac:dyDescent="0.2">
      <c r="A5" s="14"/>
      <c r="B5" s="14"/>
      <c r="C5" s="9" t="s">
        <v>137</v>
      </c>
      <c r="D5" s="76" t="s">
        <v>60</v>
      </c>
      <c r="E5" s="13">
        <v>44528</v>
      </c>
      <c r="F5" s="76" t="s">
        <v>61</v>
      </c>
      <c r="G5" s="13">
        <v>44542</v>
      </c>
      <c r="H5" s="10" t="s">
        <v>112</v>
      </c>
      <c r="I5" s="1">
        <v>66</v>
      </c>
      <c r="J5" s="1">
        <v>57</v>
      </c>
      <c r="K5" s="1">
        <v>21</v>
      </c>
      <c r="L5" s="1">
        <v>13</v>
      </c>
      <c r="M5" s="80">
        <v>19.750499999999999</v>
      </c>
      <c r="N5" s="96">
        <v>19.750499999999999</v>
      </c>
      <c r="O5" s="64">
        <v>14000</v>
      </c>
      <c r="P5" s="65">
        <f>Table22457891011234567891011[[#This Row],[PEMBULATAN]]*O5</f>
        <v>276507</v>
      </c>
    </row>
    <row r="6" spans="1:16" ht="26.25" customHeight="1" x14ac:dyDescent="0.2">
      <c r="A6" s="14"/>
      <c r="B6" s="14"/>
      <c r="C6" s="73" t="s">
        <v>138</v>
      </c>
      <c r="D6" s="78" t="s">
        <v>60</v>
      </c>
      <c r="E6" s="13">
        <v>44528</v>
      </c>
      <c r="F6" s="76" t="s">
        <v>61</v>
      </c>
      <c r="G6" s="13">
        <v>44542</v>
      </c>
      <c r="H6" s="77" t="s">
        <v>112</v>
      </c>
      <c r="I6" s="16">
        <v>66</v>
      </c>
      <c r="J6" s="16">
        <v>57</v>
      </c>
      <c r="K6" s="16">
        <v>21</v>
      </c>
      <c r="L6" s="16">
        <v>13</v>
      </c>
      <c r="M6" s="81">
        <v>19.750499999999999</v>
      </c>
      <c r="N6" s="96">
        <v>19.750499999999999</v>
      </c>
      <c r="O6" s="64">
        <v>14000</v>
      </c>
      <c r="P6" s="65">
        <f>Table22457891011234567891011[[#This Row],[PEMBULATAN]]*O6</f>
        <v>276507</v>
      </c>
    </row>
    <row r="7" spans="1:16" ht="26.25" customHeight="1" x14ac:dyDescent="0.2">
      <c r="A7" s="14"/>
      <c r="B7" s="14"/>
      <c r="C7" s="73" t="s">
        <v>139</v>
      </c>
      <c r="D7" s="78" t="s">
        <v>60</v>
      </c>
      <c r="E7" s="13">
        <v>44528</v>
      </c>
      <c r="F7" s="76" t="s">
        <v>61</v>
      </c>
      <c r="G7" s="13">
        <v>44542</v>
      </c>
      <c r="H7" s="77" t="s">
        <v>112</v>
      </c>
      <c r="I7" s="16">
        <v>66</v>
      </c>
      <c r="J7" s="16">
        <v>57</v>
      </c>
      <c r="K7" s="16">
        <v>21</v>
      </c>
      <c r="L7" s="16">
        <v>13</v>
      </c>
      <c r="M7" s="81">
        <v>19.750499999999999</v>
      </c>
      <c r="N7" s="96">
        <v>19.750499999999999</v>
      </c>
      <c r="O7" s="64">
        <v>14000</v>
      </c>
      <c r="P7" s="65">
        <f>Table22457891011234567891011[[#This Row],[PEMBULATAN]]*O7</f>
        <v>276507</v>
      </c>
    </row>
    <row r="8" spans="1:16" ht="22.5" customHeight="1" x14ac:dyDescent="0.2">
      <c r="A8" s="115" t="s">
        <v>30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7"/>
      <c r="M8" s="79">
        <f>SUBTOTAL(109,Table22457891011234567891011[KG VOLUME])</f>
        <v>98.752499999999998</v>
      </c>
      <c r="N8" s="68">
        <f>SUM(N3:N7)</f>
        <v>98.752499999999998</v>
      </c>
      <c r="O8" s="118">
        <f>SUM(P3:P7)</f>
        <v>1382535</v>
      </c>
      <c r="P8" s="119"/>
    </row>
    <row r="9" spans="1:16" ht="18" customHeight="1" x14ac:dyDescent="0.2">
      <c r="A9" s="86"/>
      <c r="B9" s="56" t="s">
        <v>42</v>
      </c>
      <c r="C9" s="55"/>
      <c r="D9" s="57" t="s">
        <v>43</v>
      </c>
      <c r="E9" s="86"/>
      <c r="F9" s="86"/>
      <c r="G9" s="86"/>
      <c r="H9" s="86"/>
      <c r="I9" s="86"/>
      <c r="J9" s="86"/>
      <c r="K9" s="86"/>
      <c r="L9" s="86"/>
      <c r="M9" s="87"/>
      <c r="N9" s="88" t="s">
        <v>51</v>
      </c>
      <c r="O9" s="89"/>
      <c r="P9" s="89">
        <f>O8*10%</f>
        <v>138253.5</v>
      </c>
    </row>
    <row r="10" spans="1:16" ht="18" customHeight="1" thickBot="1" x14ac:dyDescent="0.25">
      <c r="A10" s="86"/>
      <c r="B10" s="56"/>
      <c r="C10" s="55"/>
      <c r="D10" s="57"/>
      <c r="E10" s="86"/>
      <c r="F10" s="86"/>
      <c r="G10" s="86"/>
      <c r="H10" s="86"/>
      <c r="I10" s="86"/>
      <c r="J10" s="86"/>
      <c r="K10" s="86"/>
      <c r="L10" s="86"/>
      <c r="M10" s="87"/>
      <c r="N10" s="90" t="s">
        <v>52</v>
      </c>
      <c r="O10" s="91"/>
      <c r="P10" s="91">
        <f>O8-P9</f>
        <v>1244281.5</v>
      </c>
    </row>
    <row r="11" spans="1:16" ht="18" customHeight="1" x14ac:dyDescent="0.2">
      <c r="A11" s="11"/>
      <c r="H11" s="63"/>
      <c r="N11" s="62" t="s">
        <v>31</v>
      </c>
      <c r="P11" s="69">
        <f>P10*1%</f>
        <v>12442.815000000001</v>
      </c>
    </row>
    <row r="12" spans="1:16" ht="18" customHeight="1" thickBot="1" x14ac:dyDescent="0.25">
      <c r="A12" s="11"/>
      <c r="H12" s="63"/>
      <c r="N12" s="62" t="s">
        <v>53</v>
      </c>
      <c r="P12" s="71">
        <f>P10*2%</f>
        <v>24885.63</v>
      </c>
    </row>
    <row r="13" spans="1:16" ht="18" customHeight="1" x14ac:dyDescent="0.2">
      <c r="A13" s="11"/>
      <c r="H13" s="63"/>
      <c r="N13" s="66" t="s">
        <v>32</v>
      </c>
      <c r="O13" s="67"/>
      <c r="P13" s="70">
        <f>P10+P11-P12</f>
        <v>1231838.6850000001</v>
      </c>
    </row>
    <row r="15" spans="1:16" x14ac:dyDescent="0.2">
      <c r="A15" s="11"/>
      <c r="H15" s="63"/>
      <c r="P15" s="71"/>
    </row>
    <row r="16" spans="1:16" x14ac:dyDescent="0.2">
      <c r="A16" s="11"/>
      <c r="H16" s="63"/>
      <c r="O16" s="58"/>
      <c r="P16" s="71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7">
    <cfRule type="duplicateValues" dxfId="33" priority="3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3" sqref="H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403739</v>
      </c>
      <c r="B3" s="74" t="s">
        <v>140</v>
      </c>
      <c r="C3" s="9" t="s">
        <v>141</v>
      </c>
      <c r="D3" s="76" t="s">
        <v>60</v>
      </c>
      <c r="E3" s="13">
        <v>44530</v>
      </c>
      <c r="F3" s="76" t="s">
        <v>61</v>
      </c>
      <c r="G3" s="13">
        <v>44542</v>
      </c>
      <c r="H3" s="10" t="s">
        <v>112</v>
      </c>
      <c r="I3" s="1">
        <v>43</v>
      </c>
      <c r="J3" s="1">
        <v>55</v>
      </c>
      <c r="K3" s="1">
        <v>81</v>
      </c>
      <c r="L3" s="1">
        <v>15</v>
      </c>
      <c r="M3" s="80">
        <v>47.891249999999999</v>
      </c>
      <c r="N3" s="96">
        <v>47.891249999999999</v>
      </c>
      <c r="O3" s="64">
        <v>14000</v>
      </c>
      <c r="P3" s="65">
        <f>Table2245789101123456789101112[[#This Row],[PEMBULATAN]]*O3</f>
        <v>670477.5</v>
      </c>
    </row>
    <row r="4" spans="1:16" ht="26.25" customHeight="1" x14ac:dyDescent="0.2">
      <c r="A4" s="14"/>
      <c r="B4" s="97"/>
      <c r="C4" s="9" t="s">
        <v>142</v>
      </c>
      <c r="D4" s="76" t="s">
        <v>60</v>
      </c>
      <c r="E4" s="13">
        <v>44530</v>
      </c>
      <c r="F4" s="76" t="s">
        <v>61</v>
      </c>
      <c r="G4" s="13">
        <v>44542</v>
      </c>
      <c r="H4" s="10" t="s">
        <v>112</v>
      </c>
      <c r="I4" s="1">
        <v>43</v>
      </c>
      <c r="J4" s="1">
        <v>55</v>
      </c>
      <c r="K4" s="1">
        <v>81</v>
      </c>
      <c r="L4" s="1">
        <v>15</v>
      </c>
      <c r="M4" s="80">
        <v>47.891249999999999</v>
      </c>
      <c r="N4" s="96">
        <v>47.891249999999999</v>
      </c>
      <c r="O4" s="64">
        <v>14000</v>
      </c>
      <c r="P4" s="65">
        <f>Table2245789101123456789101112[[#This Row],[PEMBULATAN]]*O4</f>
        <v>670477.5</v>
      </c>
    </row>
    <row r="5" spans="1:16" ht="26.25" customHeight="1" x14ac:dyDescent="0.2">
      <c r="A5" s="14"/>
      <c r="B5" s="14" t="s">
        <v>143</v>
      </c>
      <c r="C5" s="9" t="s">
        <v>144</v>
      </c>
      <c r="D5" s="76" t="s">
        <v>60</v>
      </c>
      <c r="E5" s="13">
        <v>44530</v>
      </c>
      <c r="F5" s="76" t="s">
        <v>61</v>
      </c>
      <c r="G5" s="13">
        <v>44542</v>
      </c>
      <c r="H5" s="10" t="s">
        <v>112</v>
      </c>
      <c r="I5" s="1">
        <v>54</v>
      </c>
      <c r="J5" s="1">
        <v>33</v>
      </c>
      <c r="K5" s="1">
        <v>11</v>
      </c>
      <c r="L5" s="1">
        <v>10</v>
      </c>
      <c r="M5" s="80">
        <v>4.9005000000000001</v>
      </c>
      <c r="N5" s="8">
        <v>10</v>
      </c>
      <c r="O5" s="64">
        <v>14000</v>
      </c>
      <c r="P5" s="65">
        <f>Table2245789101123456789101112[[#This Row],[PEMBULATAN]]*O5</f>
        <v>140000</v>
      </c>
    </row>
    <row r="6" spans="1:16" ht="26.25" customHeight="1" x14ac:dyDescent="0.2">
      <c r="A6" s="14"/>
      <c r="B6" s="14"/>
      <c r="C6" s="73" t="s">
        <v>145</v>
      </c>
      <c r="D6" s="78" t="s">
        <v>60</v>
      </c>
      <c r="E6" s="13">
        <v>44530</v>
      </c>
      <c r="F6" s="76" t="s">
        <v>61</v>
      </c>
      <c r="G6" s="13">
        <v>44542</v>
      </c>
      <c r="H6" s="77" t="s">
        <v>112</v>
      </c>
      <c r="I6" s="16">
        <v>54</v>
      </c>
      <c r="J6" s="16">
        <v>33</v>
      </c>
      <c r="K6" s="16">
        <v>11</v>
      </c>
      <c r="L6" s="16">
        <v>10</v>
      </c>
      <c r="M6" s="81">
        <v>4.9005000000000001</v>
      </c>
      <c r="N6" s="72">
        <v>10</v>
      </c>
      <c r="O6" s="64">
        <v>14000</v>
      </c>
      <c r="P6" s="65">
        <f>Table2245789101123456789101112[[#This Row],[PEMBULATAN]]*O6</f>
        <v>140000</v>
      </c>
    </row>
    <row r="7" spans="1:16" ht="26.25" customHeight="1" x14ac:dyDescent="0.2">
      <c r="A7" s="14"/>
      <c r="B7" s="14"/>
      <c r="C7" s="73" t="s">
        <v>146</v>
      </c>
      <c r="D7" s="78" t="s">
        <v>60</v>
      </c>
      <c r="E7" s="13">
        <v>44530</v>
      </c>
      <c r="F7" s="76" t="s">
        <v>61</v>
      </c>
      <c r="G7" s="13">
        <v>44542</v>
      </c>
      <c r="H7" s="77" t="s">
        <v>112</v>
      </c>
      <c r="I7" s="16">
        <v>54</v>
      </c>
      <c r="J7" s="16">
        <v>33</v>
      </c>
      <c r="K7" s="16">
        <v>11</v>
      </c>
      <c r="L7" s="16">
        <v>10</v>
      </c>
      <c r="M7" s="81">
        <v>4.9005000000000001</v>
      </c>
      <c r="N7" s="72">
        <v>10</v>
      </c>
      <c r="O7" s="64">
        <v>14000</v>
      </c>
      <c r="P7" s="65">
        <f>Table2245789101123456789101112[[#This Row],[PEMBULATAN]]*O7</f>
        <v>140000</v>
      </c>
    </row>
    <row r="8" spans="1:16" ht="22.5" customHeight="1" x14ac:dyDescent="0.2">
      <c r="A8" s="115" t="s">
        <v>30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7"/>
      <c r="M8" s="79">
        <f>SUBTOTAL(109,Table2245789101123456789101112[KG VOLUME])</f>
        <v>110.48399999999998</v>
      </c>
      <c r="N8" s="68">
        <f>SUM(N3:N7)</f>
        <v>125.7825</v>
      </c>
      <c r="O8" s="118">
        <f>SUM(P3:P7)</f>
        <v>1760955</v>
      </c>
      <c r="P8" s="119"/>
    </row>
    <row r="9" spans="1:16" ht="18" customHeight="1" x14ac:dyDescent="0.2">
      <c r="A9" s="86"/>
      <c r="B9" s="56" t="s">
        <v>42</v>
      </c>
      <c r="C9" s="55"/>
      <c r="D9" s="57" t="s">
        <v>43</v>
      </c>
      <c r="E9" s="86"/>
      <c r="F9" s="86"/>
      <c r="G9" s="86"/>
      <c r="H9" s="86"/>
      <c r="I9" s="86"/>
      <c r="J9" s="86"/>
      <c r="K9" s="86"/>
      <c r="L9" s="86"/>
      <c r="M9" s="87"/>
      <c r="N9" s="88" t="s">
        <v>51</v>
      </c>
      <c r="O9" s="89"/>
      <c r="P9" s="89">
        <f>O8*10%</f>
        <v>176095.5</v>
      </c>
    </row>
    <row r="10" spans="1:16" ht="18" customHeight="1" thickBot="1" x14ac:dyDescent="0.25">
      <c r="A10" s="86"/>
      <c r="B10" s="56"/>
      <c r="C10" s="55"/>
      <c r="D10" s="57"/>
      <c r="E10" s="86"/>
      <c r="F10" s="86"/>
      <c r="G10" s="86"/>
      <c r="H10" s="86"/>
      <c r="I10" s="86"/>
      <c r="J10" s="86"/>
      <c r="K10" s="86"/>
      <c r="L10" s="86"/>
      <c r="M10" s="87"/>
      <c r="N10" s="90" t="s">
        <v>52</v>
      </c>
      <c r="O10" s="91"/>
      <c r="P10" s="91">
        <f>O8-P9</f>
        <v>1584859.5</v>
      </c>
    </row>
    <row r="11" spans="1:16" ht="18" customHeight="1" x14ac:dyDescent="0.2">
      <c r="A11" s="11"/>
      <c r="H11" s="63"/>
      <c r="N11" s="62" t="s">
        <v>31</v>
      </c>
      <c r="P11" s="69">
        <f>P10*1%</f>
        <v>15848.595000000001</v>
      </c>
    </row>
    <row r="12" spans="1:16" ht="18" customHeight="1" thickBot="1" x14ac:dyDescent="0.25">
      <c r="A12" s="11"/>
      <c r="H12" s="63"/>
      <c r="N12" s="62" t="s">
        <v>53</v>
      </c>
      <c r="P12" s="71">
        <f>P10*2%</f>
        <v>31697.190000000002</v>
      </c>
    </row>
    <row r="13" spans="1:16" ht="18" customHeight="1" x14ac:dyDescent="0.2">
      <c r="A13" s="11"/>
      <c r="H13" s="63"/>
      <c r="N13" s="66" t="s">
        <v>32</v>
      </c>
      <c r="O13" s="67"/>
      <c r="P13" s="70">
        <f>P10+P11-P12</f>
        <v>1569010.905</v>
      </c>
    </row>
    <row r="15" spans="1:16" x14ac:dyDescent="0.2">
      <c r="A15" s="11"/>
      <c r="H15" s="63"/>
      <c r="P15" s="71"/>
    </row>
    <row r="16" spans="1:16" x14ac:dyDescent="0.2">
      <c r="A16" s="11"/>
      <c r="H16" s="63"/>
      <c r="O16" s="58"/>
      <c r="P16" s="71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7">
    <cfRule type="duplicateValues" dxfId="15" priority="3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1" sqref="G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402321</v>
      </c>
      <c r="B3" s="74" t="s">
        <v>56</v>
      </c>
      <c r="C3" s="9" t="s">
        <v>57</v>
      </c>
      <c r="D3" s="76" t="s">
        <v>60</v>
      </c>
      <c r="E3" s="13">
        <v>44503</v>
      </c>
      <c r="F3" s="76" t="s">
        <v>61</v>
      </c>
      <c r="G3" s="13">
        <v>44511</v>
      </c>
      <c r="H3" s="10" t="s">
        <v>62</v>
      </c>
      <c r="I3" s="1">
        <v>62</v>
      </c>
      <c r="J3" s="1">
        <v>42</v>
      </c>
      <c r="K3" s="1">
        <v>76</v>
      </c>
      <c r="L3" s="1">
        <v>31</v>
      </c>
      <c r="M3" s="80">
        <v>49.475999999999999</v>
      </c>
      <c r="N3" s="8">
        <v>50</v>
      </c>
      <c r="O3" s="64">
        <v>14000</v>
      </c>
      <c r="P3" s="65">
        <f>Table224578910112[[#This Row],[PEMBULATAN]]*O3</f>
        <v>700000</v>
      </c>
    </row>
    <row r="4" spans="1:16" ht="26.25" customHeight="1" x14ac:dyDescent="0.2">
      <c r="A4" s="14"/>
      <c r="B4" s="75"/>
      <c r="C4" s="9" t="s">
        <v>58</v>
      </c>
      <c r="D4" s="76" t="s">
        <v>60</v>
      </c>
      <c r="E4" s="13">
        <v>44503</v>
      </c>
      <c r="F4" s="76" t="s">
        <v>61</v>
      </c>
      <c r="G4" s="13">
        <v>44511</v>
      </c>
      <c r="H4" s="10" t="s">
        <v>62</v>
      </c>
      <c r="I4" s="1">
        <v>62</v>
      </c>
      <c r="J4" s="1">
        <v>42</v>
      </c>
      <c r="K4" s="1">
        <v>76</v>
      </c>
      <c r="L4" s="1">
        <v>31</v>
      </c>
      <c r="M4" s="80">
        <v>49.475999999999999</v>
      </c>
      <c r="N4" s="8">
        <v>50</v>
      </c>
      <c r="O4" s="64">
        <v>14000</v>
      </c>
      <c r="P4" s="65">
        <f>Table224578910112[[#This Row],[PEMBULATAN]]*O4</f>
        <v>700000</v>
      </c>
    </row>
    <row r="5" spans="1:16" ht="26.25" customHeight="1" x14ac:dyDescent="0.2">
      <c r="A5" s="14"/>
      <c r="B5" s="14"/>
      <c r="C5" s="9" t="s">
        <v>59</v>
      </c>
      <c r="D5" s="76" t="s">
        <v>60</v>
      </c>
      <c r="E5" s="13">
        <v>44503</v>
      </c>
      <c r="F5" s="76" t="s">
        <v>61</v>
      </c>
      <c r="G5" s="13">
        <v>44511</v>
      </c>
      <c r="H5" s="10" t="s">
        <v>62</v>
      </c>
      <c r="I5" s="1">
        <v>62</v>
      </c>
      <c r="J5" s="1">
        <v>42</v>
      </c>
      <c r="K5" s="1">
        <v>76</v>
      </c>
      <c r="L5" s="1">
        <v>31</v>
      </c>
      <c r="M5" s="80">
        <v>49.475999999999999</v>
      </c>
      <c r="N5" s="8">
        <v>50</v>
      </c>
      <c r="O5" s="64">
        <v>14000</v>
      </c>
      <c r="P5" s="65">
        <f>Table224578910112[[#This Row],[PEMBULATAN]]*O5</f>
        <v>700000</v>
      </c>
    </row>
    <row r="6" spans="1:16" ht="22.5" customHeight="1" x14ac:dyDescent="0.2">
      <c r="A6" s="115" t="s">
        <v>30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7"/>
      <c r="M6" s="79">
        <f>SUBTOTAL(109,Table224578910112[KG VOLUME])</f>
        <v>148.428</v>
      </c>
      <c r="N6" s="68">
        <f>SUM(N3:N5)</f>
        <v>150</v>
      </c>
      <c r="O6" s="118">
        <f>SUM(P3:P5)</f>
        <v>2100000</v>
      </c>
      <c r="P6" s="119"/>
    </row>
    <row r="7" spans="1:16" ht="18" customHeight="1" x14ac:dyDescent="0.2">
      <c r="A7" s="86"/>
      <c r="B7" s="56" t="s">
        <v>42</v>
      </c>
      <c r="C7" s="55"/>
      <c r="D7" s="57" t="s">
        <v>43</v>
      </c>
      <c r="E7" s="86"/>
      <c r="F7" s="86"/>
      <c r="G7" s="86"/>
      <c r="H7" s="86"/>
      <c r="I7" s="86"/>
      <c r="J7" s="86"/>
      <c r="K7" s="86"/>
      <c r="L7" s="86"/>
      <c r="M7" s="87"/>
      <c r="N7" s="88" t="s">
        <v>51</v>
      </c>
      <c r="O7" s="89"/>
      <c r="P7" s="89">
        <f>O6*10%</f>
        <v>210000</v>
      </c>
    </row>
    <row r="8" spans="1:16" ht="18" customHeight="1" thickBot="1" x14ac:dyDescent="0.25">
      <c r="A8" s="86"/>
      <c r="B8" s="56"/>
      <c r="C8" s="55"/>
      <c r="D8" s="57"/>
      <c r="E8" s="86"/>
      <c r="F8" s="86"/>
      <c r="G8" s="86"/>
      <c r="H8" s="86"/>
      <c r="I8" s="86"/>
      <c r="J8" s="86"/>
      <c r="K8" s="86"/>
      <c r="L8" s="86"/>
      <c r="M8" s="87"/>
      <c r="N8" s="90" t="s">
        <v>52</v>
      </c>
      <c r="O8" s="91"/>
      <c r="P8" s="91">
        <f>O6-P7</f>
        <v>1890000</v>
      </c>
    </row>
    <row r="9" spans="1:16" ht="18" customHeight="1" x14ac:dyDescent="0.2">
      <c r="A9" s="11"/>
      <c r="H9" s="63"/>
      <c r="N9" s="62" t="s">
        <v>31</v>
      </c>
      <c r="P9" s="69">
        <f>P8*1%</f>
        <v>18900</v>
      </c>
    </row>
    <row r="10" spans="1:16" ht="18" customHeight="1" thickBot="1" x14ac:dyDescent="0.25">
      <c r="A10" s="11"/>
      <c r="H10" s="63"/>
      <c r="N10" s="62" t="s">
        <v>53</v>
      </c>
      <c r="P10" s="71">
        <f>P8*2%</f>
        <v>37800</v>
      </c>
    </row>
    <row r="11" spans="1:16" ht="18" customHeight="1" x14ac:dyDescent="0.2">
      <c r="A11" s="11"/>
      <c r="H11" s="63"/>
      <c r="N11" s="66" t="s">
        <v>32</v>
      </c>
      <c r="O11" s="67"/>
      <c r="P11" s="70">
        <f>P8+P9-P10</f>
        <v>1871100</v>
      </c>
    </row>
    <row r="13" spans="1:16" x14ac:dyDescent="0.2">
      <c r="A13" s="11"/>
      <c r="H13" s="63"/>
      <c r="P13" s="71"/>
    </row>
    <row r="14" spans="1:16" x14ac:dyDescent="0.2">
      <c r="A14" s="11"/>
      <c r="H14" s="63"/>
      <c r="O14" s="58"/>
      <c r="P14" s="71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195" priority="2"/>
  </conditionalFormatting>
  <conditionalFormatting sqref="B4">
    <cfRule type="duplicateValues" dxfId="194" priority="1"/>
  </conditionalFormatting>
  <conditionalFormatting sqref="B5">
    <cfRule type="duplicateValues" dxfId="193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8" sqref="O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402348</v>
      </c>
      <c r="B3" s="74" t="s">
        <v>63</v>
      </c>
      <c r="C3" s="9" t="s">
        <v>64</v>
      </c>
      <c r="D3" s="76" t="s">
        <v>68</v>
      </c>
      <c r="E3" s="13">
        <v>44509</v>
      </c>
      <c r="F3" s="76" t="s">
        <v>61</v>
      </c>
      <c r="G3" s="13">
        <v>44527</v>
      </c>
      <c r="H3" s="10" t="s">
        <v>69</v>
      </c>
      <c r="I3" s="1">
        <v>62</v>
      </c>
      <c r="J3" s="1">
        <v>41</v>
      </c>
      <c r="K3" s="1">
        <v>74</v>
      </c>
      <c r="L3" s="1">
        <v>31</v>
      </c>
      <c r="M3" s="80">
        <v>47.027000000000001</v>
      </c>
      <c r="N3" s="96">
        <v>47.027000000000001</v>
      </c>
      <c r="O3" s="64">
        <v>14000</v>
      </c>
      <c r="P3" s="65">
        <f>Table2245789101123[[#This Row],[PEMBULATAN]]*O3</f>
        <v>658378</v>
      </c>
    </row>
    <row r="4" spans="1:16" ht="26.25" customHeight="1" x14ac:dyDescent="0.2">
      <c r="A4" s="14"/>
      <c r="B4" s="75"/>
      <c r="C4" s="9" t="s">
        <v>65</v>
      </c>
      <c r="D4" s="76" t="s">
        <v>68</v>
      </c>
      <c r="E4" s="13">
        <v>44509</v>
      </c>
      <c r="F4" s="76" t="s">
        <v>61</v>
      </c>
      <c r="G4" s="13">
        <v>44527</v>
      </c>
      <c r="H4" s="10" t="s">
        <v>69</v>
      </c>
      <c r="I4" s="1">
        <v>62</v>
      </c>
      <c r="J4" s="1">
        <v>41</v>
      </c>
      <c r="K4" s="1">
        <v>74</v>
      </c>
      <c r="L4" s="1">
        <v>31</v>
      </c>
      <c r="M4" s="80">
        <v>47.027000000000001</v>
      </c>
      <c r="N4" s="96">
        <v>47.027000000000001</v>
      </c>
      <c r="O4" s="64">
        <v>14000</v>
      </c>
      <c r="P4" s="65">
        <f>Table2245789101123[[#This Row],[PEMBULATAN]]*O4</f>
        <v>658378</v>
      </c>
    </row>
    <row r="5" spans="1:16" ht="26.25" customHeight="1" x14ac:dyDescent="0.2">
      <c r="A5" s="14"/>
      <c r="B5" s="14"/>
      <c r="C5" s="9" t="s">
        <v>66</v>
      </c>
      <c r="D5" s="76" t="s">
        <v>68</v>
      </c>
      <c r="E5" s="13">
        <v>44509</v>
      </c>
      <c r="F5" s="76" t="s">
        <v>61</v>
      </c>
      <c r="G5" s="13">
        <v>44527</v>
      </c>
      <c r="H5" s="10" t="s">
        <v>69</v>
      </c>
      <c r="I5" s="1">
        <v>62</v>
      </c>
      <c r="J5" s="1">
        <v>41</v>
      </c>
      <c r="K5" s="1">
        <v>74</v>
      </c>
      <c r="L5" s="1">
        <v>31</v>
      </c>
      <c r="M5" s="80">
        <v>47.027000000000001</v>
      </c>
      <c r="N5" s="96">
        <v>47.027000000000001</v>
      </c>
      <c r="O5" s="64">
        <v>14000</v>
      </c>
      <c r="P5" s="65">
        <f>Table2245789101123[[#This Row],[PEMBULATAN]]*O5</f>
        <v>658378</v>
      </c>
    </row>
    <row r="6" spans="1:16" ht="26.25" customHeight="1" x14ac:dyDescent="0.2">
      <c r="A6" s="14"/>
      <c r="B6" s="14"/>
      <c r="C6" s="73" t="s">
        <v>67</v>
      </c>
      <c r="D6" s="78" t="s">
        <v>68</v>
      </c>
      <c r="E6" s="13">
        <v>44509</v>
      </c>
      <c r="F6" s="76" t="s">
        <v>61</v>
      </c>
      <c r="G6" s="13">
        <v>44527</v>
      </c>
      <c r="H6" s="77" t="s">
        <v>69</v>
      </c>
      <c r="I6" s="16">
        <v>62</v>
      </c>
      <c r="J6" s="16">
        <v>41</v>
      </c>
      <c r="K6" s="16">
        <v>74</v>
      </c>
      <c r="L6" s="16">
        <v>31</v>
      </c>
      <c r="M6" s="81">
        <v>47.027000000000001</v>
      </c>
      <c r="N6" s="96">
        <v>47.027000000000001</v>
      </c>
      <c r="O6" s="64">
        <v>14000</v>
      </c>
      <c r="P6" s="65">
        <f>Table2245789101123[[#This Row],[PEMBULATAN]]*O6</f>
        <v>658378</v>
      </c>
    </row>
    <row r="7" spans="1:16" ht="22.5" customHeight="1" x14ac:dyDescent="0.2">
      <c r="A7" s="115" t="s">
        <v>30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7"/>
      <c r="M7" s="79">
        <f>SUBTOTAL(109,Table2245789101123[KG VOLUME])</f>
        <v>188.108</v>
      </c>
      <c r="N7" s="68">
        <f>SUM(N3:N6)</f>
        <v>188.108</v>
      </c>
      <c r="O7" s="118">
        <f>SUM(P3:P6)</f>
        <v>2633512</v>
      </c>
      <c r="P7" s="119"/>
    </row>
    <row r="8" spans="1:16" ht="18" customHeight="1" x14ac:dyDescent="0.2">
      <c r="A8" s="86"/>
      <c r="B8" s="56" t="s">
        <v>42</v>
      </c>
      <c r="C8" s="55"/>
      <c r="D8" s="57" t="s">
        <v>43</v>
      </c>
      <c r="E8" s="86"/>
      <c r="F8" s="86"/>
      <c r="G8" s="86"/>
      <c r="H8" s="86"/>
      <c r="I8" s="86"/>
      <c r="J8" s="86"/>
      <c r="K8" s="86"/>
      <c r="L8" s="86"/>
      <c r="M8" s="87"/>
      <c r="N8" s="88" t="s">
        <v>51</v>
      </c>
      <c r="O8" s="89"/>
      <c r="P8" s="89">
        <f>O7*10%</f>
        <v>263351.2</v>
      </c>
    </row>
    <row r="9" spans="1:16" ht="18" customHeight="1" thickBot="1" x14ac:dyDescent="0.25">
      <c r="A9" s="86"/>
      <c r="B9" s="56"/>
      <c r="C9" s="55"/>
      <c r="D9" s="57"/>
      <c r="E9" s="86"/>
      <c r="F9" s="86"/>
      <c r="G9" s="86"/>
      <c r="H9" s="86"/>
      <c r="I9" s="86"/>
      <c r="J9" s="86"/>
      <c r="K9" s="86"/>
      <c r="L9" s="86"/>
      <c r="M9" s="87"/>
      <c r="N9" s="90" t="s">
        <v>52</v>
      </c>
      <c r="O9" s="91"/>
      <c r="P9" s="91">
        <f>O7-P8</f>
        <v>2370160.7999999998</v>
      </c>
    </row>
    <row r="10" spans="1:16" ht="18" customHeight="1" x14ac:dyDescent="0.2">
      <c r="A10" s="11"/>
      <c r="H10" s="63"/>
      <c r="N10" s="62" t="s">
        <v>31</v>
      </c>
      <c r="P10" s="69">
        <f>P9*1%</f>
        <v>23701.608</v>
      </c>
    </row>
    <row r="11" spans="1:16" ht="18" customHeight="1" thickBot="1" x14ac:dyDescent="0.25">
      <c r="A11" s="11"/>
      <c r="H11" s="63"/>
      <c r="N11" s="62" t="s">
        <v>53</v>
      </c>
      <c r="P11" s="71">
        <f>P9*2%</f>
        <v>47403.216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2346459.1919999998</v>
      </c>
    </row>
    <row r="14" spans="1:16" x14ac:dyDescent="0.2">
      <c r="A14" s="11"/>
      <c r="H14" s="63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177" priority="2"/>
  </conditionalFormatting>
  <conditionalFormatting sqref="B4">
    <cfRule type="duplicateValues" dxfId="176" priority="1"/>
  </conditionalFormatting>
  <conditionalFormatting sqref="B5:B6">
    <cfRule type="duplicateValues" dxfId="175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4"/>
  <sheetViews>
    <sheetView zoomScale="110" zoomScaleNormal="110" workbookViewId="0">
      <pane xSplit="3" ySplit="2" topLeftCell="D20" activePane="bottomRight" state="frozen"/>
      <selection pane="topRight" activeCell="B1" sqref="B1"/>
      <selection pane="bottomLeft" activeCell="A3" sqref="A3"/>
      <selection pane="bottomRight" activeCell="F22" sqref="F22"/>
    </sheetView>
  </sheetViews>
  <sheetFormatPr defaultRowHeight="15" x14ac:dyDescent="0.2"/>
  <cols>
    <col min="1" max="1" width="8.140625" style="4" customWidth="1"/>
    <col min="2" max="2" width="19.5703125" style="2" customWidth="1"/>
    <col min="3" max="3" width="15.285156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2.5" customHeight="1" x14ac:dyDescent="0.2">
      <c r="A3" s="83">
        <v>403856</v>
      </c>
      <c r="B3" s="74" t="s">
        <v>70</v>
      </c>
      <c r="C3" s="9" t="s">
        <v>71</v>
      </c>
      <c r="D3" s="76" t="s">
        <v>60</v>
      </c>
      <c r="E3" s="13">
        <v>44511</v>
      </c>
      <c r="F3" s="76" t="s">
        <v>61</v>
      </c>
      <c r="G3" s="13">
        <v>44527</v>
      </c>
      <c r="H3" s="10" t="s">
        <v>69</v>
      </c>
      <c r="I3" s="1">
        <v>46</v>
      </c>
      <c r="J3" s="1">
        <v>42</v>
      </c>
      <c r="K3" s="1">
        <v>37</v>
      </c>
      <c r="L3" s="1">
        <v>13</v>
      </c>
      <c r="M3" s="80">
        <v>17.870999999999999</v>
      </c>
      <c r="N3" s="96">
        <v>17.870999999999999</v>
      </c>
      <c r="O3" s="64">
        <v>14000</v>
      </c>
      <c r="P3" s="65">
        <f>Table22457891011234[[#This Row],[PEMBULATAN]]*O3</f>
        <v>250193.99999999997</v>
      </c>
    </row>
    <row r="4" spans="1:16" ht="22.5" customHeight="1" x14ac:dyDescent="0.2">
      <c r="A4" s="14"/>
      <c r="B4" s="75"/>
      <c r="C4" s="9" t="s">
        <v>72</v>
      </c>
      <c r="D4" s="76" t="s">
        <v>60</v>
      </c>
      <c r="E4" s="13">
        <v>44511</v>
      </c>
      <c r="F4" s="76" t="s">
        <v>61</v>
      </c>
      <c r="G4" s="13">
        <v>44527</v>
      </c>
      <c r="H4" s="10" t="s">
        <v>69</v>
      </c>
      <c r="I4" s="1">
        <v>50</v>
      </c>
      <c r="J4" s="1">
        <v>45</v>
      </c>
      <c r="K4" s="1">
        <v>12</v>
      </c>
      <c r="L4" s="1">
        <v>13</v>
      </c>
      <c r="M4" s="80">
        <v>6.75</v>
      </c>
      <c r="N4" s="96">
        <v>13</v>
      </c>
      <c r="O4" s="64">
        <v>14000</v>
      </c>
      <c r="P4" s="65">
        <f>Table22457891011234[[#This Row],[PEMBULATAN]]*O4</f>
        <v>182000</v>
      </c>
    </row>
    <row r="5" spans="1:16" ht="22.5" customHeight="1" x14ac:dyDescent="0.2">
      <c r="A5" s="14"/>
      <c r="B5" s="14"/>
      <c r="C5" s="9" t="s">
        <v>73</v>
      </c>
      <c r="D5" s="76" t="s">
        <v>60</v>
      </c>
      <c r="E5" s="13">
        <v>44511</v>
      </c>
      <c r="F5" s="76" t="s">
        <v>61</v>
      </c>
      <c r="G5" s="13">
        <v>44527</v>
      </c>
      <c r="H5" s="10" t="s">
        <v>69</v>
      </c>
      <c r="I5" s="1">
        <v>40</v>
      </c>
      <c r="J5" s="1">
        <v>40</v>
      </c>
      <c r="K5" s="1">
        <v>27</v>
      </c>
      <c r="L5" s="1">
        <v>3</v>
      </c>
      <c r="M5" s="80">
        <v>10.8</v>
      </c>
      <c r="N5" s="96">
        <v>10.8</v>
      </c>
      <c r="O5" s="64">
        <v>14000</v>
      </c>
      <c r="P5" s="65">
        <f>Table22457891011234[[#This Row],[PEMBULATAN]]*O5</f>
        <v>151200</v>
      </c>
    </row>
    <row r="6" spans="1:16" ht="22.5" customHeight="1" x14ac:dyDescent="0.2">
      <c r="A6" s="14"/>
      <c r="B6" s="14"/>
      <c r="C6" s="73" t="s">
        <v>74</v>
      </c>
      <c r="D6" s="78" t="s">
        <v>60</v>
      </c>
      <c r="E6" s="13">
        <v>44511</v>
      </c>
      <c r="F6" s="76" t="s">
        <v>61</v>
      </c>
      <c r="G6" s="13">
        <v>44527</v>
      </c>
      <c r="H6" s="77" t="s">
        <v>69</v>
      </c>
      <c r="I6" s="16">
        <v>50</v>
      </c>
      <c r="J6" s="16">
        <v>45</v>
      </c>
      <c r="K6" s="16">
        <v>12</v>
      </c>
      <c r="L6" s="16">
        <v>13</v>
      </c>
      <c r="M6" s="81">
        <v>6.75</v>
      </c>
      <c r="N6" s="96">
        <v>13</v>
      </c>
      <c r="O6" s="64">
        <v>14000</v>
      </c>
      <c r="P6" s="65">
        <f>Table22457891011234[[#This Row],[PEMBULATAN]]*O6</f>
        <v>182000</v>
      </c>
    </row>
    <row r="7" spans="1:16" ht="22.5" customHeight="1" x14ac:dyDescent="0.2">
      <c r="A7" s="14"/>
      <c r="B7" s="14"/>
      <c r="C7" s="73" t="s">
        <v>75</v>
      </c>
      <c r="D7" s="78" t="s">
        <v>60</v>
      </c>
      <c r="E7" s="13">
        <v>44511</v>
      </c>
      <c r="F7" s="76" t="s">
        <v>61</v>
      </c>
      <c r="G7" s="13">
        <v>44527</v>
      </c>
      <c r="H7" s="77" t="s">
        <v>69</v>
      </c>
      <c r="I7" s="16">
        <v>50</v>
      </c>
      <c r="J7" s="16">
        <v>45</v>
      </c>
      <c r="K7" s="16">
        <v>12</v>
      </c>
      <c r="L7" s="16">
        <v>13</v>
      </c>
      <c r="M7" s="81">
        <v>6.75</v>
      </c>
      <c r="N7" s="96">
        <v>13</v>
      </c>
      <c r="O7" s="64">
        <v>14000</v>
      </c>
      <c r="P7" s="65">
        <f>Table22457891011234[[#This Row],[PEMBULATAN]]*O7</f>
        <v>182000</v>
      </c>
    </row>
    <row r="8" spans="1:16" ht="22.5" customHeight="1" x14ac:dyDescent="0.2">
      <c r="A8" s="14"/>
      <c r="B8" s="14"/>
      <c r="C8" s="73" t="s">
        <v>76</v>
      </c>
      <c r="D8" s="78" t="s">
        <v>60</v>
      </c>
      <c r="E8" s="13">
        <v>44511</v>
      </c>
      <c r="F8" s="76" t="s">
        <v>61</v>
      </c>
      <c r="G8" s="13">
        <v>44527</v>
      </c>
      <c r="H8" s="77" t="s">
        <v>69</v>
      </c>
      <c r="I8" s="16">
        <v>50</v>
      </c>
      <c r="J8" s="16">
        <v>45</v>
      </c>
      <c r="K8" s="16">
        <v>12</v>
      </c>
      <c r="L8" s="16">
        <v>13</v>
      </c>
      <c r="M8" s="81">
        <v>6.75</v>
      </c>
      <c r="N8" s="96">
        <v>13</v>
      </c>
      <c r="O8" s="64">
        <v>14000</v>
      </c>
      <c r="P8" s="65">
        <f>Table22457891011234[[#This Row],[PEMBULATAN]]*O8</f>
        <v>182000</v>
      </c>
    </row>
    <row r="9" spans="1:16" ht="22.5" customHeight="1" x14ac:dyDescent="0.2">
      <c r="A9" s="14"/>
      <c r="B9" s="14"/>
      <c r="C9" s="73" t="s">
        <v>77</v>
      </c>
      <c r="D9" s="78" t="s">
        <v>60</v>
      </c>
      <c r="E9" s="13">
        <v>44511</v>
      </c>
      <c r="F9" s="76" t="s">
        <v>61</v>
      </c>
      <c r="G9" s="13">
        <v>44527</v>
      </c>
      <c r="H9" s="77" t="s">
        <v>69</v>
      </c>
      <c r="I9" s="16">
        <v>50</v>
      </c>
      <c r="J9" s="16">
        <v>45</v>
      </c>
      <c r="K9" s="16">
        <v>12</v>
      </c>
      <c r="L9" s="16">
        <v>13</v>
      </c>
      <c r="M9" s="81">
        <v>6.75</v>
      </c>
      <c r="N9" s="96">
        <v>13</v>
      </c>
      <c r="O9" s="64">
        <v>14000</v>
      </c>
      <c r="P9" s="65">
        <f>Table22457891011234[[#This Row],[PEMBULATAN]]*O9</f>
        <v>182000</v>
      </c>
    </row>
    <row r="10" spans="1:16" ht="22.5" customHeight="1" x14ac:dyDescent="0.2">
      <c r="A10" s="14"/>
      <c r="B10" s="14"/>
      <c r="C10" s="73" t="s">
        <v>78</v>
      </c>
      <c r="D10" s="78" t="s">
        <v>60</v>
      </c>
      <c r="E10" s="13">
        <v>44511</v>
      </c>
      <c r="F10" s="76" t="s">
        <v>61</v>
      </c>
      <c r="G10" s="13">
        <v>44527</v>
      </c>
      <c r="H10" s="77" t="s">
        <v>69</v>
      </c>
      <c r="I10" s="16">
        <v>50</v>
      </c>
      <c r="J10" s="16">
        <v>45</v>
      </c>
      <c r="K10" s="16">
        <v>12</v>
      </c>
      <c r="L10" s="16">
        <v>13</v>
      </c>
      <c r="M10" s="81">
        <v>6.75</v>
      </c>
      <c r="N10" s="96">
        <v>13</v>
      </c>
      <c r="O10" s="64">
        <v>14000</v>
      </c>
      <c r="P10" s="65">
        <f>Table22457891011234[[#This Row],[PEMBULATAN]]*O10</f>
        <v>182000</v>
      </c>
    </row>
    <row r="11" spans="1:16" ht="22.5" customHeight="1" x14ac:dyDescent="0.2">
      <c r="A11" s="14"/>
      <c r="B11" s="14"/>
      <c r="C11" s="73" t="s">
        <v>79</v>
      </c>
      <c r="D11" s="78" t="s">
        <v>60</v>
      </c>
      <c r="E11" s="13">
        <v>44511</v>
      </c>
      <c r="F11" s="76" t="s">
        <v>61</v>
      </c>
      <c r="G11" s="13">
        <v>44527</v>
      </c>
      <c r="H11" s="77" t="s">
        <v>69</v>
      </c>
      <c r="I11" s="16">
        <v>50</v>
      </c>
      <c r="J11" s="16">
        <v>45</v>
      </c>
      <c r="K11" s="16">
        <v>12</v>
      </c>
      <c r="L11" s="16">
        <v>13</v>
      </c>
      <c r="M11" s="81">
        <v>6.75</v>
      </c>
      <c r="N11" s="96">
        <v>13</v>
      </c>
      <c r="O11" s="64">
        <v>14000</v>
      </c>
      <c r="P11" s="65">
        <f>Table22457891011234[[#This Row],[PEMBULATAN]]*O11</f>
        <v>182000</v>
      </c>
    </row>
    <row r="12" spans="1:16" ht="22.5" customHeight="1" x14ac:dyDescent="0.2">
      <c r="A12" s="14"/>
      <c r="B12" s="14"/>
      <c r="C12" s="73" t="s">
        <v>80</v>
      </c>
      <c r="D12" s="78" t="s">
        <v>60</v>
      </c>
      <c r="E12" s="13">
        <v>44511</v>
      </c>
      <c r="F12" s="76" t="s">
        <v>61</v>
      </c>
      <c r="G12" s="13">
        <v>44527</v>
      </c>
      <c r="H12" s="77" t="s">
        <v>69</v>
      </c>
      <c r="I12" s="16">
        <v>50</v>
      </c>
      <c r="J12" s="16">
        <v>45</v>
      </c>
      <c r="K12" s="16">
        <v>12</v>
      </c>
      <c r="L12" s="16">
        <v>13</v>
      </c>
      <c r="M12" s="81">
        <v>6.75</v>
      </c>
      <c r="N12" s="96">
        <v>13</v>
      </c>
      <c r="O12" s="64">
        <v>14000</v>
      </c>
      <c r="P12" s="65">
        <f>Table22457891011234[[#This Row],[PEMBULATAN]]*O12</f>
        <v>182000</v>
      </c>
    </row>
    <row r="13" spans="1:16" ht="22.5" customHeight="1" x14ac:dyDescent="0.2">
      <c r="A13" s="14"/>
      <c r="B13" s="14"/>
      <c r="C13" s="73" t="s">
        <v>81</v>
      </c>
      <c r="D13" s="78" t="s">
        <v>60</v>
      </c>
      <c r="E13" s="13">
        <v>44511</v>
      </c>
      <c r="F13" s="76" t="s">
        <v>61</v>
      </c>
      <c r="G13" s="13">
        <v>44527</v>
      </c>
      <c r="H13" s="77" t="s">
        <v>69</v>
      </c>
      <c r="I13" s="16">
        <v>50</v>
      </c>
      <c r="J13" s="16">
        <v>45</v>
      </c>
      <c r="K13" s="16">
        <v>12</v>
      </c>
      <c r="L13" s="16">
        <v>13</v>
      </c>
      <c r="M13" s="81">
        <v>6.75</v>
      </c>
      <c r="N13" s="96">
        <v>13</v>
      </c>
      <c r="O13" s="64">
        <v>14000</v>
      </c>
      <c r="P13" s="65">
        <f>Table22457891011234[[#This Row],[PEMBULATAN]]*O13</f>
        <v>182000</v>
      </c>
    </row>
    <row r="14" spans="1:16" ht="22.5" customHeight="1" x14ac:dyDescent="0.2">
      <c r="A14" s="14"/>
      <c r="B14" s="14"/>
      <c r="C14" s="73" t="s">
        <v>82</v>
      </c>
      <c r="D14" s="78" t="s">
        <v>60</v>
      </c>
      <c r="E14" s="13">
        <v>44511</v>
      </c>
      <c r="F14" s="76" t="s">
        <v>61</v>
      </c>
      <c r="G14" s="13">
        <v>44527</v>
      </c>
      <c r="H14" s="77" t="s">
        <v>69</v>
      </c>
      <c r="I14" s="16">
        <v>150</v>
      </c>
      <c r="J14" s="16">
        <v>64</v>
      </c>
      <c r="K14" s="16">
        <v>9</v>
      </c>
      <c r="L14" s="16">
        <v>13</v>
      </c>
      <c r="M14" s="81">
        <v>21.6</v>
      </c>
      <c r="N14" s="96">
        <v>21.6</v>
      </c>
      <c r="O14" s="64">
        <v>14000</v>
      </c>
      <c r="P14" s="65">
        <f>Table22457891011234[[#This Row],[PEMBULATAN]]*O14</f>
        <v>302400</v>
      </c>
    </row>
    <row r="15" spans="1:16" ht="22.5" customHeight="1" x14ac:dyDescent="0.2">
      <c r="A15" s="14"/>
      <c r="B15" s="14"/>
      <c r="C15" s="73" t="s">
        <v>83</v>
      </c>
      <c r="D15" s="78" t="s">
        <v>60</v>
      </c>
      <c r="E15" s="13">
        <v>44511</v>
      </c>
      <c r="F15" s="76" t="s">
        <v>61</v>
      </c>
      <c r="G15" s="13">
        <v>44527</v>
      </c>
      <c r="H15" s="77" t="s">
        <v>69</v>
      </c>
      <c r="I15" s="16">
        <v>150</v>
      </c>
      <c r="J15" s="16">
        <v>64</v>
      </c>
      <c r="K15" s="16">
        <v>9</v>
      </c>
      <c r="L15" s="16">
        <v>13</v>
      </c>
      <c r="M15" s="81">
        <v>21.6</v>
      </c>
      <c r="N15" s="96">
        <v>21.6</v>
      </c>
      <c r="O15" s="64">
        <v>14000</v>
      </c>
      <c r="P15" s="65">
        <f>Table22457891011234[[#This Row],[PEMBULATAN]]*O15</f>
        <v>302400</v>
      </c>
    </row>
    <row r="16" spans="1:16" ht="22.5" customHeight="1" x14ac:dyDescent="0.2">
      <c r="A16" s="14"/>
      <c r="B16" s="14"/>
      <c r="C16" s="73" t="s">
        <v>84</v>
      </c>
      <c r="D16" s="78" t="s">
        <v>60</v>
      </c>
      <c r="E16" s="13">
        <v>44511</v>
      </c>
      <c r="F16" s="76" t="s">
        <v>61</v>
      </c>
      <c r="G16" s="13">
        <v>44527</v>
      </c>
      <c r="H16" s="77" t="s">
        <v>69</v>
      </c>
      <c r="I16" s="16">
        <v>150</v>
      </c>
      <c r="J16" s="16">
        <v>64</v>
      </c>
      <c r="K16" s="16">
        <v>9</v>
      </c>
      <c r="L16" s="16">
        <v>13</v>
      </c>
      <c r="M16" s="81">
        <v>21.6</v>
      </c>
      <c r="N16" s="96">
        <v>21.6</v>
      </c>
      <c r="O16" s="64">
        <v>14000</v>
      </c>
      <c r="P16" s="65">
        <f>Table22457891011234[[#This Row],[PEMBULATAN]]*O16</f>
        <v>302400</v>
      </c>
    </row>
    <row r="17" spans="1:16" ht="22.5" customHeight="1" x14ac:dyDescent="0.2">
      <c r="A17" s="14"/>
      <c r="B17" s="14"/>
      <c r="C17" s="73" t="s">
        <v>85</v>
      </c>
      <c r="D17" s="78" t="s">
        <v>60</v>
      </c>
      <c r="E17" s="13">
        <v>44511</v>
      </c>
      <c r="F17" s="76" t="s">
        <v>61</v>
      </c>
      <c r="G17" s="13">
        <v>44527</v>
      </c>
      <c r="H17" s="77" t="s">
        <v>69</v>
      </c>
      <c r="I17" s="16">
        <v>150</v>
      </c>
      <c r="J17" s="16">
        <v>64</v>
      </c>
      <c r="K17" s="16">
        <v>9</v>
      </c>
      <c r="L17" s="16">
        <v>13</v>
      </c>
      <c r="M17" s="81">
        <v>21.6</v>
      </c>
      <c r="N17" s="96">
        <v>21.6</v>
      </c>
      <c r="O17" s="64">
        <v>14000</v>
      </c>
      <c r="P17" s="65">
        <f>Table22457891011234[[#This Row],[PEMBULATAN]]*O17</f>
        <v>302400</v>
      </c>
    </row>
    <row r="18" spans="1:16" ht="22.5" customHeight="1" x14ac:dyDescent="0.2">
      <c r="A18" s="14"/>
      <c r="B18" s="14"/>
      <c r="C18" s="73" t="s">
        <v>86</v>
      </c>
      <c r="D18" s="78" t="s">
        <v>60</v>
      </c>
      <c r="E18" s="13">
        <v>44511</v>
      </c>
      <c r="F18" s="76" t="s">
        <v>61</v>
      </c>
      <c r="G18" s="13">
        <v>44527</v>
      </c>
      <c r="H18" s="77" t="s">
        <v>69</v>
      </c>
      <c r="I18" s="16">
        <v>150</v>
      </c>
      <c r="J18" s="16">
        <v>64</v>
      </c>
      <c r="K18" s="16">
        <v>9</v>
      </c>
      <c r="L18" s="16">
        <v>13</v>
      </c>
      <c r="M18" s="81">
        <v>21.6</v>
      </c>
      <c r="N18" s="96">
        <v>21.6</v>
      </c>
      <c r="O18" s="64">
        <v>14000</v>
      </c>
      <c r="P18" s="65">
        <f>Table22457891011234[[#This Row],[PEMBULATAN]]*O18</f>
        <v>302400</v>
      </c>
    </row>
    <row r="19" spans="1:16" ht="22.5" customHeight="1" x14ac:dyDescent="0.2">
      <c r="A19" s="14"/>
      <c r="B19" s="14"/>
      <c r="C19" s="73" t="s">
        <v>87</v>
      </c>
      <c r="D19" s="78" t="s">
        <v>60</v>
      </c>
      <c r="E19" s="13">
        <v>44511</v>
      </c>
      <c r="F19" s="76" t="s">
        <v>61</v>
      </c>
      <c r="G19" s="13">
        <v>44527</v>
      </c>
      <c r="H19" s="77" t="s">
        <v>69</v>
      </c>
      <c r="I19" s="16">
        <v>150</v>
      </c>
      <c r="J19" s="16">
        <v>64</v>
      </c>
      <c r="K19" s="16">
        <v>9</v>
      </c>
      <c r="L19" s="16">
        <v>13</v>
      </c>
      <c r="M19" s="81">
        <v>21.6</v>
      </c>
      <c r="N19" s="96">
        <v>21.6</v>
      </c>
      <c r="O19" s="64">
        <v>14000</v>
      </c>
      <c r="P19" s="65">
        <f>Table22457891011234[[#This Row],[PEMBULATAN]]*O19</f>
        <v>302400</v>
      </c>
    </row>
    <row r="20" spans="1:16" ht="22.5" customHeight="1" x14ac:dyDescent="0.2">
      <c r="A20" s="14"/>
      <c r="B20" s="14"/>
      <c r="C20" s="73" t="s">
        <v>88</v>
      </c>
      <c r="D20" s="78" t="s">
        <v>60</v>
      </c>
      <c r="E20" s="13">
        <v>44511</v>
      </c>
      <c r="F20" s="76" t="s">
        <v>61</v>
      </c>
      <c r="G20" s="13">
        <v>44527</v>
      </c>
      <c r="H20" s="77" t="s">
        <v>69</v>
      </c>
      <c r="I20" s="16">
        <v>150</v>
      </c>
      <c r="J20" s="16">
        <v>64</v>
      </c>
      <c r="K20" s="16">
        <v>9</v>
      </c>
      <c r="L20" s="16">
        <v>13</v>
      </c>
      <c r="M20" s="81">
        <v>21.6</v>
      </c>
      <c r="N20" s="96">
        <v>21.6</v>
      </c>
      <c r="O20" s="64">
        <v>14000</v>
      </c>
      <c r="P20" s="65">
        <f>Table22457891011234[[#This Row],[PEMBULATAN]]*O20</f>
        <v>302400</v>
      </c>
    </row>
    <row r="21" spans="1:16" ht="22.5" customHeight="1" x14ac:dyDescent="0.2">
      <c r="A21" s="14"/>
      <c r="B21" s="14"/>
      <c r="C21" s="73" t="s">
        <v>89</v>
      </c>
      <c r="D21" s="78" t="s">
        <v>60</v>
      </c>
      <c r="E21" s="13">
        <v>44511</v>
      </c>
      <c r="F21" s="76" t="s">
        <v>61</v>
      </c>
      <c r="G21" s="13">
        <v>44527</v>
      </c>
      <c r="H21" s="77" t="s">
        <v>69</v>
      </c>
      <c r="I21" s="16">
        <v>150</v>
      </c>
      <c r="J21" s="16">
        <v>64</v>
      </c>
      <c r="K21" s="16">
        <v>9</v>
      </c>
      <c r="L21" s="16">
        <v>13</v>
      </c>
      <c r="M21" s="81">
        <v>21.6</v>
      </c>
      <c r="N21" s="96">
        <v>21.6</v>
      </c>
      <c r="O21" s="64">
        <v>14000</v>
      </c>
      <c r="P21" s="65">
        <f>Table22457891011234[[#This Row],[PEMBULATAN]]*O21</f>
        <v>302400</v>
      </c>
    </row>
    <row r="22" spans="1:16" ht="22.5" customHeight="1" x14ac:dyDescent="0.2">
      <c r="A22" s="14"/>
      <c r="B22" s="14"/>
      <c r="C22" s="73" t="s">
        <v>90</v>
      </c>
      <c r="D22" s="78" t="s">
        <v>60</v>
      </c>
      <c r="E22" s="13">
        <v>44511</v>
      </c>
      <c r="F22" s="76" t="s">
        <v>61</v>
      </c>
      <c r="G22" s="13">
        <v>44527</v>
      </c>
      <c r="H22" s="77" t="s">
        <v>69</v>
      </c>
      <c r="I22" s="16">
        <v>150</v>
      </c>
      <c r="J22" s="16">
        <v>64</v>
      </c>
      <c r="K22" s="16">
        <v>9</v>
      </c>
      <c r="L22" s="16">
        <v>13</v>
      </c>
      <c r="M22" s="81">
        <v>21.6</v>
      </c>
      <c r="N22" s="96">
        <v>21.6</v>
      </c>
      <c r="O22" s="64">
        <v>14000</v>
      </c>
      <c r="P22" s="65">
        <f>Table22457891011234[[#This Row],[PEMBULATAN]]*O22</f>
        <v>302400</v>
      </c>
    </row>
    <row r="23" spans="1:16" ht="22.5" customHeight="1" x14ac:dyDescent="0.2">
      <c r="A23" s="14"/>
      <c r="B23" s="14"/>
      <c r="C23" s="73" t="s">
        <v>91</v>
      </c>
      <c r="D23" s="78" t="s">
        <v>60</v>
      </c>
      <c r="E23" s="13">
        <v>44511</v>
      </c>
      <c r="F23" s="76" t="s">
        <v>61</v>
      </c>
      <c r="G23" s="13">
        <v>44527</v>
      </c>
      <c r="H23" s="77" t="s">
        <v>69</v>
      </c>
      <c r="I23" s="16">
        <v>150</v>
      </c>
      <c r="J23" s="16">
        <v>64</v>
      </c>
      <c r="K23" s="16">
        <v>9</v>
      </c>
      <c r="L23" s="16">
        <v>13</v>
      </c>
      <c r="M23" s="81">
        <v>21.6</v>
      </c>
      <c r="N23" s="96">
        <v>21.6</v>
      </c>
      <c r="O23" s="64">
        <v>14000</v>
      </c>
      <c r="P23" s="65">
        <f>Table22457891011234[[#This Row],[PEMBULATAN]]*O23</f>
        <v>302400</v>
      </c>
    </row>
    <row r="24" spans="1:16" ht="22.5" customHeight="1" x14ac:dyDescent="0.2">
      <c r="A24" s="115" t="s">
        <v>30</v>
      </c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7"/>
      <c r="M24" s="79">
        <f>SUBTOTAL(109,Table22457891011234[KG VOLUME])</f>
        <v>305.42099999999999</v>
      </c>
      <c r="N24" s="68">
        <f>SUM(N3:N23)</f>
        <v>361.67100000000005</v>
      </c>
      <c r="O24" s="118">
        <f>SUM(P3:P23)</f>
        <v>5063394</v>
      </c>
      <c r="P24" s="119"/>
    </row>
    <row r="25" spans="1:16" ht="18" customHeight="1" x14ac:dyDescent="0.2">
      <c r="A25" s="86"/>
      <c r="B25" s="56" t="s">
        <v>42</v>
      </c>
      <c r="C25" s="55"/>
      <c r="D25" s="57" t="s">
        <v>43</v>
      </c>
      <c r="E25" s="86"/>
      <c r="F25" s="86"/>
      <c r="G25" s="86"/>
      <c r="H25" s="86"/>
      <c r="I25" s="86"/>
      <c r="J25" s="86"/>
      <c r="K25" s="86"/>
      <c r="L25" s="86"/>
      <c r="M25" s="87"/>
      <c r="N25" s="88" t="s">
        <v>51</v>
      </c>
      <c r="O25" s="89"/>
      <c r="P25" s="89">
        <f>O24*10%</f>
        <v>506339.4</v>
      </c>
    </row>
    <row r="26" spans="1:16" ht="18" customHeight="1" thickBot="1" x14ac:dyDescent="0.25">
      <c r="A26" s="86"/>
      <c r="B26" s="56"/>
      <c r="C26" s="55"/>
      <c r="D26" s="57"/>
      <c r="E26" s="86"/>
      <c r="F26" s="86"/>
      <c r="G26" s="86"/>
      <c r="H26" s="86"/>
      <c r="I26" s="86"/>
      <c r="J26" s="86"/>
      <c r="K26" s="86"/>
      <c r="L26" s="86"/>
      <c r="M26" s="87"/>
      <c r="N26" s="90" t="s">
        <v>52</v>
      </c>
      <c r="O26" s="91"/>
      <c r="P26" s="91">
        <f>O24-P25</f>
        <v>4557054.5999999996</v>
      </c>
    </row>
    <row r="27" spans="1:16" ht="18" customHeight="1" x14ac:dyDescent="0.2">
      <c r="A27" s="11"/>
      <c r="H27" s="63"/>
      <c r="N27" s="62" t="s">
        <v>31</v>
      </c>
      <c r="P27" s="69">
        <f>P26*1%</f>
        <v>45570.545999999995</v>
      </c>
    </row>
    <row r="28" spans="1:16" ht="18" customHeight="1" thickBot="1" x14ac:dyDescent="0.25">
      <c r="A28" s="11"/>
      <c r="H28" s="63"/>
      <c r="N28" s="62" t="s">
        <v>53</v>
      </c>
      <c r="P28" s="71">
        <f>P26*2%</f>
        <v>91141.09199999999</v>
      </c>
    </row>
    <row r="29" spans="1:16" ht="18" customHeight="1" x14ac:dyDescent="0.2">
      <c r="A29" s="11"/>
      <c r="H29" s="63"/>
      <c r="N29" s="66" t="s">
        <v>32</v>
      </c>
      <c r="O29" s="67"/>
      <c r="P29" s="70">
        <f>P26+P27-P28</f>
        <v>4511484.0539999995</v>
      </c>
    </row>
    <row r="31" spans="1:16" x14ac:dyDescent="0.2">
      <c r="A31" s="11"/>
      <c r="H31" s="63"/>
      <c r="P31" s="71"/>
    </row>
    <row r="32" spans="1:16" x14ac:dyDescent="0.2">
      <c r="A32" s="11"/>
      <c r="H32" s="63"/>
      <c r="O32" s="58"/>
      <c r="P32" s="71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</sheetData>
  <mergeCells count="2">
    <mergeCell ref="A24:L24"/>
    <mergeCell ref="O24:P24"/>
  </mergeCells>
  <conditionalFormatting sqref="B3">
    <cfRule type="duplicateValues" dxfId="159" priority="2"/>
  </conditionalFormatting>
  <conditionalFormatting sqref="B4">
    <cfRule type="duplicateValues" dxfId="158" priority="1"/>
  </conditionalFormatting>
  <conditionalFormatting sqref="B5:B23">
    <cfRule type="duplicateValues" dxfId="157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9"/>
  <sheetViews>
    <sheetView zoomScale="110" zoomScaleNormal="110" workbookViewId="0">
      <pane xSplit="3" ySplit="2" topLeftCell="D11" activePane="bottomRight" state="frozen"/>
      <selection pane="topRight" activeCell="B1" sqref="B1"/>
      <selection pane="bottomLeft" activeCell="A3" sqref="A3"/>
      <selection pane="bottomRight" activeCell="O20" sqref="O2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403862</v>
      </c>
      <c r="B3" s="74" t="s">
        <v>92</v>
      </c>
      <c r="C3" s="9" t="s">
        <v>93</v>
      </c>
      <c r="D3" s="76" t="s">
        <v>60</v>
      </c>
      <c r="E3" s="13">
        <v>44512</v>
      </c>
      <c r="F3" s="76" t="s">
        <v>61</v>
      </c>
      <c r="G3" s="13">
        <v>44528</v>
      </c>
      <c r="H3" s="10" t="s">
        <v>69</v>
      </c>
      <c r="I3" s="1">
        <v>44</v>
      </c>
      <c r="J3" s="1">
        <v>44</v>
      </c>
      <c r="K3" s="1">
        <v>88</v>
      </c>
      <c r="L3" s="1">
        <v>5</v>
      </c>
      <c r="M3" s="80">
        <v>42.591999999999999</v>
      </c>
      <c r="N3" s="96">
        <v>42.591999999999999</v>
      </c>
      <c r="O3" s="64">
        <v>14000</v>
      </c>
      <c r="P3" s="65">
        <f>Table224578910112345[[#This Row],[PEMBULATAN]]*O3</f>
        <v>596288</v>
      </c>
    </row>
    <row r="4" spans="1:16" ht="26.25" customHeight="1" x14ac:dyDescent="0.2">
      <c r="A4" s="14"/>
      <c r="B4" s="75"/>
      <c r="C4" s="9" t="s">
        <v>94</v>
      </c>
      <c r="D4" s="76" t="s">
        <v>60</v>
      </c>
      <c r="E4" s="13">
        <v>44512</v>
      </c>
      <c r="F4" s="76" t="s">
        <v>61</v>
      </c>
      <c r="G4" s="13">
        <v>44528</v>
      </c>
      <c r="H4" s="10" t="s">
        <v>69</v>
      </c>
      <c r="I4" s="1">
        <v>44</v>
      </c>
      <c r="J4" s="1">
        <v>44</v>
      </c>
      <c r="K4" s="1">
        <v>64</v>
      </c>
      <c r="L4" s="1">
        <v>13</v>
      </c>
      <c r="M4" s="80">
        <v>30.975999999999999</v>
      </c>
      <c r="N4" s="96">
        <v>30.975999999999999</v>
      </c>
      <c r="O4" s="64">
        <v>14000</v>
      </c>
      <c r="P4" s="65">
        <f>Table224578910112345[[#This Row],[PEMBULATAN]]*O4</f>
        <v>433664</v>
      </c>
    </row>
    <row r="5" spans="1:16" ht="26.25" customHeight="1" x14ac:dyDescent="0.2">
      <c r="A5" s="14"/>
      <c r="B5" s="14"/>
      <c r="C5" s="9" t="s">
        <v>95</v>
      </c>
      <c r="D5" s="76" t="s">
        <v>60</v>
      </c>
      <c r="E5" s="13">
        <v>44512</v>
      </c>
      <c r="F5" s="76" t="s">
        <v>61</v>
      </c>
      <c r="G5" s="13">
        <v>44528</v>
      </c>
      <c r="H5" s="10" t="s">
        <v>69</v>
      </c>
      <c r="I5" s="1">
        <v>46</v>
      </c>
      <c r="J5" s="1">
        <v>46</v>
      </c>
      <c r="K5" s="1">
        <v>35</v>
      </c>
      <c r="L5" s="1">
        <v>5</v>
      </c>
      <c r="M5" s="80">
        <v>18.515000000000001</v>
      </c>
      <c r="N5" s="96">
        <v>18.515000000000001</v>
      </c>
      <c r="O5" s="64">
        <v>14000</v>
      </c>
      <c r="P5" s="65">
        <f>Table224578910112345[[#This Row],[PEMBULATAN]]*O5</f>
        <v>259210</v>
      </c>
    </row>
    <row r="6" spans="1:16" ht="26.25" customHeight="1" x14ac:dyDescent="0.2">
      <c r="A6" s="14"/>
      <c r="B6" s="14"/>
      <c r="C6" s="73" t="s">
        <v>96</v>
      </c>
      <c r="D6" s="78" t="s">
        <v>60</v>
      </c>
      <c r="E6" s="13">
        <v>44512</v>
      </c>
      <c r="F6" s="76" t="s">
        <v>61</v>
      </c>
      <c r="G6" s="13">
        <v>44528</v>
      </c>
      <c r="H6" s="77" t="s">
        <v>69</v>
      </c>
      <c r="I6" s="16">
        <v>50</v>
      </c>
      <c r="J6" s="16">
        <v>45</v>
      </c>
      <c r="K6" s="16">
        <v>18</v>
      </c>
      <c r="L6" s="16">
        <v>5</v>
      </c>
      <c r="M6" s="81">
        <v>10.125</v>
      </c>
      <c r="N6" s="96">
        <v>10.125</v>
      </c>
      <c r="O6" s="64">
        <v>14000</v>
      </c>
      <c r="P6" s="65">
        <f>Table224578910112345[[#This Row],[PEMBULATAN]]*O6</f>
        <v>141750</v>
      </c>
    </row>
    <row r="7" spans="1:16" ht="26.25" customHeight="1" x14ac:dyDescent="0.2">
      <c r="A7" s="14"/>
      <c r="B7" s="14"/>
      <c r="C7" s="73" t="s">
        <v>97</v>
      </c>
      <c r="D7" s="78" t="s">
        <v>60</v>
      </c>
      <c r="E7" s="13">
        <v>44512</v>
      </c>
      <c r="F7" s="76" t="s">
        <v>61</v>
      </c>
      <c r="G7" s="13">
        <v>44528</v>
      </c>
      <c r="H7" s="77" t="s">
        <v>69</v>
      </c>
      <c r="I7" s="16">
        <v>50</v>
      </c>
      <c r="J7" s="16">
        <v>45</v>
      </c>
      <c r="K7" s="16">
        <v>18</v>
      </c>
      <c r="L7" s="16">
        <v>5</v>
      </c>
      <c r="M7" s="81">
        <v>10.125</v>
      </c>
      <c r="N7" s="96">
        <v>10.125</v>
      </c>
      <c r="O7" s="64">
        <v>14000</v>
      </c>
      <c r="P7" s="65">
        <f>Table224578910112345[[#This Row],[PEMBULATAN]]*O7</f>
        <v>141750</v>
      </c>
    </row>
    <row r="8" spans="1:16" ht="26.25" customHeight="1" x14ac:dyDescent="0.2">
      <c r="A8" s="14"/>
      <c r="B8" s="14"/>
      <c r="C8" s="73" t="s">
        <v>98</v>
      </c>
      <c r="D8" s="78" t="s">
        <v>60</v>
      </c>
      <c r="E8" s="13">
        <v>44512</v>
      </c>
      <c r="F8" s="76" t="s">
        <v>61</v>
      </c>
      <c r="G8" s="13">
        <v>44528</v>
      </c>
      <c r="H8" s="77" t="s">
        <v>69</v>
      </c>
      <c r="I8" s="16">
        <v>50</v>
      </c>
      <c r="J8" s="16">
        <v>45</v>
      </c>
      <c r="K8" s="16">
        <v>18</v>
      </c>
      <c r="L8" s="16">
        <v>5</v>
      </c>
      <c r="M8" s="81">
        <v>10.125</v>
      </c>
      <c r="N8" s="96">
        <v>10.125</v>
      </c>
      <c r="O8" s="64">
        <v>14000</v>
      </c>
      <c r="P8" s="65">
        <f>Table224578910112345[[#This Row],[PEMBULATAN]]*O8</f>
        <v>141750</v>
      </c>
    </row>
    <row r="9" spans="1:16" ht="26.25" customHeight="1" x14ac:dyDescent="0.2">
      <c r="A9" s="14"/>
      <c r="B9" s="14"/>
      <c r="C9" s="73" t="s">
        <v>99</v>
      </c>
      <c r="D9" s="78" t="s">
        <v>60</v>
      </c>
      <c r="E9" s="13">
        <v>44512</v>
      </c>
      <c r="F9" s="76" t="s">
        <v>61</v>
      </c>
      <c r="G9" s="13">
        <v>44528</v>
      </c>
      <c r="H9" s="77" t="s">
        <v>69</v>
      </c>
      <c r="I9" s="16">
        <v>50</v>
      </c>
      <c r="J9" s="16">
        <v>45</v>
      </c>
      <c r="K9" s="16">
        <v>18</v>
      </c>
      <c r="L9" s="16">
        <v>5</v>
      </c>
      <c r="M9" s="81">
        <v>10.125</v>
      </c>
      <c r="N9" s="96">
        <v>10.125</v>
      </c>
      <c r="O9" s="64">
        <v>14000</v>
      </c>
      <c r="P9" s="65">
        <f>Table224578910112345[[#This Row],[PEMBULATAN]]*O9</f>
        <v>141750</v>
      </c>
    </row>
    <row r="10" spans="1:16" ht="26.25" customHeight="1" x14ac:dyDescent="0.2">
      <c r="A10" s="14"/>
      <c r="B10" s="14"/>
      <c r="C10" s="73" t="s">
        <v>100</v>
      </c>
      <c r="D10" s="78" t="s">
        <v>60</v>
      </c>
      <c r="E10" s="13">
        <v>44512</v>
      </c>
      <c r="F10" s="76" t="s">
        <v>61</v>
      </c>
      <c r="G10" s="13">
        <v>44528</v>
      </c>
      <c r="H10" s="77" t="s">
        <v>69</v>
      </c>
      <c r="I10" s="16">
        <v>50</v>
      </c>
      <c r="J10" s="16">
        <v>45</v>
      </c>
      <c r="K10" s="16">
        <v>18</v>
      </c>
      <c r="L10" s="16">
        <v>5</v>
      </c>
      <c r="M10" s="81">
        <v>10.125</v>
      </c>
      <c r="N10" s="96">
        <v>10.125</v>
      </c>
      <c r="O10" s="64">
        <v>14000</v>
      </c>
      <c r="P10" s="65">
        <f>Table224578910112345[[#This Row],[PEMBULATAN]]*O10</f>
        <v>141750</v>
      </c>
    </row>
    <row r="11" spans="1:16" ht="26.25" customHeight="1" x14ac:dyDescent="0.2">
      <c r="A11" s="14"/>
      <c r="B11" s="14"/>
      <c r="C11" s="73" t="s">
        <v>101</v>
      </c>
      <c r="D11" s="78" t="s">
        <v>60</v>
      </c>
      <c r="E11" s="13">
        <v>44512</v>
      </c>
      <c r="F11" s="76" t="s">
        <v>61</v>
      </c>
      <c r="G11" s="13">
        <v>44528</v>
      </c>
      <c r="H11" s="77" t="s">
        <v>69</v>
      </c>
      <c r="I11" s="16">
        <v>50</v>
      </c>
      <c r="J11" s="16">
        <v>45</v>
      </c>
      <c r="K11" s="16">
        <v>18</v>
      </c>
      <c r="L11" s="16">
        <v>5</v>
      </c>
      <c r="M11" s="81">
        <v>10.125</v>
      </c>
      <c r="N11" s="96">
        <v>10.125</v>
      </c>
      <c r="O11" s="64">
        <v>14000</v>
      </c>
      <c r="P11" s="65">
        <f>Table224578910112345[[#This Row],[PEMBULATAN]]*O11</f>
        <v>141750</v>
      </c>
    </row>
    <row r="12" spans="1:16" ht="26.25" customHeight="1" x14ac:dyDescent="0.2">
      <c r="A12" s="14"/>
      <c r="B12" s="14"/>
      <c r="C12" s="73" t="s">
        <v>102</v>
      </c>
      <c r="D12" s="78" t="s">
        <v>60</v>
      </c>
      <c r="E12" s="13">
        <v>44512</v>
      </c>
      <c r="F12" s="76" t="s">
        <v>61</v>
      </c>
      <c r="G12" s="13">
        <v>44528</v>
      </c>
      <c r="H12" s="77" t="s">
        <v>69</v>
      </c>
      <c r="I12" s="16">
        <v>50</v>
      </c>
      <c r="J12" s="16">
        <v>45</v>
      </c>
      <c r="K12" s="16">
        <v>18</v>
      </c>
      <c r="L12" s="16">
        <v>5</v>
      </c>
      <c r="M12" s="81">
        <v>10.125</v>
      </c>
      <c r="N12" s="96">
        <v>10.125</v>
      </c>
      <c r="O12" s="64">
        <v>14000</v>
      </c>
      <c r="P12" s="65">
        <f>Table224578910112345[[#This Row],[PEMBULATAN]]*O12</f>
        <v>141750</v>
      </c>
    </row>
    <row r="13" spans="1:16" ht="26.25" customHeight="1" x14ac:dyDescent="0.2">
      <c r="A13" s="14"/>
      <c r="B13" s="14"/>
      <c r="C13" s="73" t="s">
        <v>103</v>
      </c>
      <c r="D13" s="78" t="s">
        <v>60</v>
      </c>
      <c r="E13" s="13">
        <v>44512</v>
      </c>
      <c r="F13" s="76" t="s">
        <v>61</v>
      </c>
      <c r="G13" s="13">
        <v>44528</v>
      </c>
      <c r="H13" s="77" t="s">
        <v>69</v>
      </c>
      <c r="I13" s="16">
        <v>150</v>
      </c>
      <c r="J13" s="16">
        <v>66</v>
      </c>
      <c r="K13" s="16">
        <v>16</v>
      </c>
      <c r="L13" s="16">
        <v>8</v>
      </c>
      <c r="M13" s="81">
        <v>39.6</v>
      </c>
      <c r="N13" s="96">
        <v>39.6</v>
      </c>
      <c r="O13" s="64">
        <v>14000</v>
      </c>
      <c r="P13" s="65">
        <f>Table224578910112345[[#This Row],[PEMBULATAN]]*O13</f>
        <v>554400</v>
      </c>
    </row>
    <row r="14" spans="1:16" ht="26.25" customHeight="1" x14ac:dyDescent="0.2">
      <c r="A14" s="14"/>
      <c r="B14" s="14"/>
      <c r="C14" s="73" t="s">
        <v>104</v>
      </c>
      <c r="D14" s="78" t="s">
        <v>60</v>
      </c>
      <c r="E14" s="13">
        <v>44512</v>
      </c>
      <c r="F14" s="76" t="s">
        <v>61</v>
      </c>
      <c r="G14" s="13">
        <v>44528</v>
      </c>
      <c r="H14" s="77" t="s">
        <v>69</v>
      </c>
      <c r="I14" s="16">
        <v>150</v>
      </c>
      <c r="J14" s="16">
        <v>66</v>
      </c>
      <c r="K14" s="16">
        <v>16</v>
      </c>
      <c r="L14" s="16">
        <v>8</v>
      </c>
      <c r="M14" s="81">
        <v>39.6</v>
      </c>
      <c r="N14" s="96">
        <v>39.6</v>
      </c>
      <c r="O14" s="64">
        <v>14000</v>
      </c>
      <c r="P14" s="65">
        <f>Table224578910112345[[#This Row],[PEMBULATAN]]*O14</f>
        <v>554400</v>
      </c>
    </row>
    <row r="15" spans="1:16" ht="26.25" customHeight="1" x14ac:dyDescent="0.2">
      <c r="A15" s="14"/>
      <c r="B15" s="14"/>
      <c r="C15" s="73" t="s">
        <v>105</v>
      </c>
      <c r="D15" s="78" t="s">
        <v>60</v>
      </c>
      <c r="E15" s="13">
        <v>44512</v>
      </c>
      <c r="F15" s="76" t="s">
        <v>61</v>
      </c>
      <c r="G15" s="13">
        <v>44528</v>
      </c>
      <c r="H15" s="77" t="s">
        <v>69</v>
      </c>
      <c r="I15" s="16">
        <v>150</v>
      </c>
      <c r="J15" s="16">
        <v>66</v>
      </c>
      <c r="K15" s="16">
        <v>16</v>
      </c>
      <c r="L15" s="16">
        <v>8</v>
      </c>
      <c r="M15" s="81">
        <v>39.6</v>
      </c>
      <c r="N15" s="96">
        <v>39.6</v>
      </c>
      <c r="O15" s="64">
        <v>14000</v>
      </c>
      <c r="P15" s="65">
        <f>Table224578910112345[[#This Row],[PEMBULATAN]]*O15</f>
        <v>554400</v>
      </c>
    </row>
    <row r="16" spans="1:16" ht="26.25" customHeight="1" x14ac:dyDescent="0.2">
      <c r="A16" s="14"/>
      <c r="B16" s="14"/>
      <c r="C16" s="73" t="s">
        <v>106</v>
      </c>
      <c r="D16" s="78" t="s">
        <v>60</v>
      </c>
      <c r="E16" s="13">
        <v>44512</v>
      </c>
      <c r="F16" s="76" t="s">
        <v>61</v>
      </c>
      <c r="G16" s="13">
        <v>44528</v>
      </c>
      <c r="H16" s="77" t="s">
        <v>69</v>
      </c>
      <c r="I16" s="16">
        <v>150</v>
      </c>
      <c r="J16" s="16">
        <v>66</v>
      </c>
      <c r="K16" s="16">
        <v>16</v>
      </c>
      <c r="L16" s="16">
        <v>8</v>
      </c>
      <c r="M16" s="81">
        <v>39.6</v>
      </c>
      <c r="N16" s="96">
        <v>39.6</v>
      </c>
      <c r="O16" s="64">
        <v>14000</v>
      </c>
      <c r="P16" s="65">
        <f>Table224578910112345[[#This Row],[PEMBULATAN]]*O16</f>
        <v>554400</v>
      </c>
    </row>
    <row r="17" spans="1:16" ht="26.25" customHeight="1" x14ac:dyDescent="0.2">
      <c r="A17" s="14"/>
      <c r="B17" s="14"/>
      <c r="C17" s="73" t="s">
        <v>107</v>
      </c>
      <c r="D17" s="78" t="s">
        <v>60</v>
      </c>
      <c r="E17" s="13">
        <v>44512</v>
      </c>
      <c r="F17" s="76" t="s">
        <v>61</v>
      </c>
      <c r="G17" s="13">
        <v>44528</v>
      </c>
      <c r="H17" s="77" t="s">
        <v>69</v>
      </c>
      <c r="I17" s="16">
        <v>150</v>
      </c>
      <c r="J17" s="16">
        <v>66</v>
      </c>
      <c r="K17" s="16">
        <v>16</v>
      </c>
      <c r="L17" s="16">
        <v>8</v>
      </c>
      <c r="M17" s="81">
        <v>39.6</v>
      </c>
      <c r="N17" s="96">
        <v>39.6</v>
      </c>
      <c r="O17" s="64">
        <v>14000</v>
      </c>
      <c r="P17" s="65">
        <f>Table224578910112345[[#This Row],[PEMBULATAN]]*O17</f>
        <v>554400</v>
      </c>
    </row>
    <row r="18" spans="1:16" ht="26.25" customHeight="1" x14ac:dyDescent="0.2">
      <c r="A18" s="14"/>
      <c r="B18" s="14"/>
      <c r="C18" s="73" t="s">
        <v>108</v>
      </c>
      <c r="D18" s="78" t="s">
        <v>60</v>
      </c>
      <c r="E18" s="13">
        <v>44512</v>
      </c>
      <c r="F18" s="76" t="s">
        <v>61</v>
      </c>
      <c r="G18" s="13">
        <v>44528</v>
      </c>
      <c r="H18" s="77" t="s">
        <v>69</v>
      </c>
      <c r="I18" s="16">
        <v>150</v>
      </c>
      <c r="J18" s="16">
        <v>66</v>
      </c>
      <c r="K18" s="16">
        <v>16</v>
      </c>
      <c r="L18" s="16">
        <v>8</v>
      </c>
      <c r="M18" s="81">
        <v>39.6</v>
      </c>
      <c r="N18" s="96">
        <v>39.6</v>
      </c>
      <c r="O18" s="64">
        <v>14000</v>
      </c>
      <c r="P18" s="65">
        <f>Table224578910112345[[#This Row],[PEMBULATAN]]*O18</f>
        <v>554400</v>
      </c>
    </row>
    <row r="19" spans="1:16" ht="22.5" customHeight="1" x14ac:dyDescent="0.2">
      <c r="A19" s="115" t="s">
        <v>30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7"/>
      <c r="M19" s="79">
        <f>SUBTOTAL(109,Table224578910112345[KG VOLUME])</f>
        <v>400.55800000000005</v>
      </c>
      <c r="N19" s="68">
        <f>SUM(N3:N18)</f>
        <v>400.55800000000005</v>
      </c>
      <c r="O19" s="118">
        <f>SUM(P3:P18)</f>
        <v>5607812</v>
      </c>
      <c r="P19" s="119"/>
    </row>
    <row r="20" spans="1:16" ht="18" customHeight="1" x14ac:dyDescent="0.2">
      <c r="A20" s="86"/>
      <c r="B20" s="56" t="s">
        <v>42</v>
      </c>
      <c r="C20" s="55"/>
      <c r="D20" s="57" t="s">
        <v>43</v>
      </c>
      <c r="E20" s="86"/>
      <c r="F20" s="86"/>
      <c r="G20" s="86"/>
      <c r="H20" s="86"/>
      <c r="I20" s="86"/>
      <c r="J20" s="86"/>
      <c r="K20" s="86"/>
      <c r="L20" s="86"/>
      <c r="M20" s="87"/>
      <c r="N20" s="88" t="s">
        <v>51</v>
      </c>
      <c r="O20" s="89"/>
      <c r="P20" s="89">
        <f>O19*10%</f>
        <v>560781.20000000007</v>
      </c>
    </row>
    <row r="21" spans="1:16" ht="18" customHeight="1" thickBot="1" x14ac:dyDescent="0.25">
      <c r="A21" s="86"/>
      <c r="B21" s="56"/>
      <c r="C21" s="55"/>
      <c r="D21" s="57"/>
      <c r="E21" s="86"/>
      <c r="F21" s="86"/>
      <c r="G21" s="86"/>
      <c r="H21" s="86"/>
      <c r="I21" s="86"/>
      <c r="J21" s="86"/>
      <c r="K21" s="86"/>
      <c r="L21" s="86"/>
      <c r="M21" s="87"/>
      <c r="N21" s="90" t="s">
        <v>52</v>
      </c>
      <c r="O21" s="91"/>
      <c r="P21" s="91">
        <f>O19-P20</f>
        <v>5047030.8</v>
      </c>
    </row>
    <row r="22" spans="1:16" ht="18" customHeight="1" x14ac:dyDescent="0.2">
      <c r="A22" s="11"/>
      <c r="H22" s="63"/>
      <c r="N22" s="62" t="s">
        <v>31</v>
      </c>
      <c r="P22" s="69">
        <f>P21*1%</f>
        <v>50470.307999999997</v>
      </c>
    </row>
    <row r="23" spans="1:16" ht="18" customHeight="1" thickBot="1" x14ac:dyDescent="0.25">
      <c r="A23" s="11"/>
      <c r="H23" s="63"/>
      <c r="N23" s="62" t="s">
        <v>53</v>
      </c>
      <c r="P23" s="71">
        <f>P21*2%</f>
        <v>100940.61599999999</v>
      </c>
    </row>
    <row r="24" spans="1:16" ht="18" customHeight="1" x14ac:dyDescent="0.2">
      <c r="A24" s="11"/>
      <c r="H24" s="63"/>
      <c r="N24" s="66" t="s">
        <v>32</v>
      </c>
      <c r="O24" s="67"/>
      <c r="P24" s="70">
        <f>P21+P22-P23</f>
        <v>4996560.4919999996</v>
      </c>
    </row>
    <row r="26" spans="1:16" x14ac:dyDescent="0.2">
      <c r="A26" s="11"/>
      <c r="H26" s="63"/>
      <c r="P26" s="71"/>
    </row>
    <row r="27" spans="1:16" x14ac:dyDescent="0.2">
      <c r="A27" s="11"/>
      <c r="H27" s="63"/>
      <c r="O27" s="58"/>
      <c r="P27" s="71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</sheetData>
  <mergeCells count="2">
    <mergeCell ref="A19:L19"/>
    <mergeCell ref="O19:P19"/>
  </mergeCells>
  <conditionalFormatting sqref="B3">
    <cfRule type="duplicateValues" dxfId="141" priority="2"/>
  </conditionalFormatting>
  <conditionalFormatting sqref="B4">
    <cfRule type="duplicateValues" dxfId="140" priority="1"/>
  </conditionalFormatting>
  <conditionalFormatting sqref="B5:B18">
    <cfRule type="duplicateValues" dxfId="139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10" sqref="L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403886</v>
      </c>
      <c r="B3" s="74" t="s">
        <v>109</v>
      </c>
      <c r="C3" s="9" t="s">
        <v>110</v>
      </c>
      <c r="D3" s="76" t="s">
        <v>60</v>
      </c>
      <c r="E3" s="13">
        <v>44518</v>
      </c>
      <c r="F3" s="76" t="s">
        <v>61</v>
      </c>
      <c r="G3" s="13">
        <v>44542</v>
      </c>
      <c r="H3" s="10" t="s">
        <v>112</v>
      </c>
      <c r="I3" s="1">
        <v>22</v>
      </c>
      <c r="J3" s="1">
        <v>16</v>
      </c>
      <c r="K3" s="1">
        <v>13</v>
      </c>
      <c r="L3" s="1">
        <v>4</v>
      </c>
      <c r="M3" s="80">
        <v>1.1439999999999999</v>
      </c>
      <c r="N3" s="8">
        <v>4</v>
      </c>
      <c r="O3" s="64">
        <v>14000</v>
      </c>
      <c r="P3" s="65">
        <f>Table2245789101123456[[#This Row],[PEMBULATAN]]*O3</f>
        <v>56000</v>
      </c>
    </row>
    <row r="4" spans="1:16" ht="26.25" customHeight="1" x14ac:dyDescent="0.2">
      <c r="A4" s="14"/>
      <c r="B4" s="75"/>
      <c r="C4" s="9" t="s">
        <v>111</v>
      </c>
      <c r="D4" s="76" t="s">
        <v>60</v>
      </c>
      <c r="E4" s="13">
        <v>44518</v>
      </c>
      <c r="F4" s="76" t="s">
        <v>61</v>
      </c>
      <c r="G4" s="13">
        <v>44542</v>
      </c>
      <c r="H4" s="10" t="s">
        <v>112</v>
      </c>
      <c r="I4" s="1">
        <v>54</v>
      </c>
      <c r="J4" s="1">
        <v>43</v>
      </c>
      <c r="K4" s="1">
        <v>26</v>
      </c>
      <c r="L4" s="1">
        <v>10</v>
      </c>
      <c r="M4" s="80">
        <v>15.093</v>
      </c>
      <c r="N4" s="96">
        <v>15.093</v>
      </c>
      <c r="O4" s="64">
        <v>14000</v>
      </c>
      <c r="P4" s="65">
        <f>Table2245789101123456[[#This Row],[PEMBULATAN]]*O4</f>
        <v>211302</v>
      </c>
    </row>
    <row r="5" spans="1:16" ht="22.5" customHeight="1" x14ac:dyDescent="0.2">
      <c r="A5" s="115" t="s">
        <v>30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  <c r="M5" s="79">
        <f>SUBTOTAL(109,Table2245789101123456[KG VOLUME])</f>
        <v>16.236999999999998</v>
      </c>
      <c r="N5" s="68">
        <f>SUM(N3:N4)</f>
        <v>19.093</v>
      </c>
      <c r="O5" s="118">
        <f>SUM(P3:P4)</f>
        <v>267302</v>
      </c>
      <c r="P5" s="119"/>
    </row>
    <row r="6" spans="1:16" ht="18" customHeight="1" x14ac:dyDescent="0.2">
      <c r="A6" s="86"/>
      <c r="B6" s="56" t="s">
        <v>42</v>
      </c>
      <c r="C6" s="55"/>
      <c r="D6" s="57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51</v>
      </c>
      <c r="O6" s="89"/>
      <c r="P6" s="89">
        <f>O5*10%</f>
        <v>26730.2</v>
      </c>
    </row>
    <row r="7" spans="1:16" ht="18" customHeight="1" thickBot="1" x14ac:dyDescent="0.25">
      <c r="A7" s="86"/>
      <c r="B7" s="56"/>
      <c r="C7" s="55"/>
      <c r="D7" s="57"/>
      <c r="E7" s="86"/>
      <c r="F7" s="86"/>
      <c r="G7" s="86"/>
      <c r="H7" s="86"/>
      <c r="I7" s="86"/>
      <c r="J7" s="86"/>
      <c r="K7" s="86"/>
      <c r="L7" s="86"/>
      <c r="M7" s="87"/>
      <c r="N7" s="90" t="s">
        <v>52</v>
      </c>
      <c r="O7" s="91"/>
      <c r="P7" s="91">
        <f>O5-P6</f>
        <v>240571.8</v>
      </c>
    </row>
    <row r="8" spans="1:16" ht="18" customHeight="1" x14ac:dyDescent="0.2">
      <c r="A8" s="11"/>
      <c r="H8" s="63"/>
      <c r="N8" s="62" t="s">
        <v>31</v>
      </c>
      <c r="P8" s="69">
        <f>P7*1%</f>
        <v>2405.7179999999998</v>
      </c>
    </row>
    <row r="9" spans="1:16" ht="18" customHeight="1" thickBot="1" x14ac:dyDescent="0.25">
      <c r="A9" s="11"/>
      <c r="H9" s="63"/>
      <c r="N9" s="62" t="s">
        <v>53</v>
      </c>
      <c r="P9" s="71">
        <f>P7*2%</f>
        <v>4811.4359999999997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238166.08199999999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23" priority="2"/>
  </conditionalFormatting>
  <conditionalFormatting sqref="B4">
    <cfRule type="duplicateValues" dxfId="122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6" sqref="O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403892</v>
      </c>
      <c r="B3" s="74" t="s">
        <v>113</v>
      </c>
      <c r="C3" s="9" t="s">
        <v>114</v>
      </c>
      <c r="D3" s="76" t="s">
        <v>60</v>
      </c>
      <c r="E3" s="13">
        <v>44519</v>
      </c>
      <c r="F3" s="76" t="s">
        <v>61</v>
      </c>
      <c r="G3" s="13">
        <v>44542</v>
      </c>
      <c r="H3" s="10" t="s">
        <v>112</v>
      </c>
      <c r="I3" s="1">
        <v>33</v>
      </c>
      <c r="J3" s="1">
        <v>33</v>
      </c>
      <c r="K3" s="1">
        <v>47</v>
      </c>
      <c r="L3" s="1">
        <v>5</v>
      </c>
      <c r="M3" s="80">
        <v>12.79575</v>
      </c>
      <c r="N3" s="96">
        <v>12.79575</v>
      </c>
      <c r="O3" s="64">
        <v>14000</v>
      </c>
      <c r="P3" s="65">
        <f>Table22457891011234567[[#This Row],[PEMBULATAN]]*O3</f>
        <v>179140.5</v>
      </c>
    </row>
    <row r="4" spans="1:16" ht="26.25" customHeight="1" x14ac:dyDescent="0.2">
      <c r="A4" s="14"/>
      <c r="B4" s="75"/>
      <c r="C4" s="9" t="s">
        <v>115</v>
      </c>
      <c r="D4" s="76" t="s">
        <v>60</v>
      </c>
      <c r="E4" s="13">
        <v>44519</v>
      </c>
      <c r="F4" s="76" t="s">
        <v>61</v>
      </c>
      <c r="G4" s="13">
        <v>44542</v>
      </c>
      <c r="H4" s="10" t="s">
        <v>112</v>
      </c>
      <c r="I4" s="1">
        <v>33</v>
      </c>
      <c r="J4" s="1">
        <v>33</v>
      </c>
      <c r="K4" s="1">
        <v>47</v>
      </c>
      <c r="L4" s="1">
        <v>5</v>
      </c>
      <c r="M4" s="80">
        <v>12.79575</v>
      </c>
      <c r="N4" s="96">
        <v>12.79575</v>
      </c>
      <c r="O4" s="64">
        <v>14000</v>
      </c>
      <c r="P4" s="65">
        <f>Table22457891011234567[[#This Row],[PEMBULATAN]]*O4</f>
        <v>179140.5</v>
      </c>
    </row>
    <row r="5" spans="1:16" ht="22.5" customHeight="1" x14ac:dyDescent="0.2">
      <c r="A5" s="115" t="s">
        <v>30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  <c r="M5" s="79">
        <f>SUBTOTAL(109,Table22457891011234567[KG VOLUME])</f>
        <v>25.5915</v>
      </c>
      <c r="N5" s="68">
        <f>SUM(N3:N4)</f>
        <v>25.5915</v>
      </c>
      <c r="O5" s="118">
        <f>SUM(P3:P4)</f>
        <v>358281</v>
      </c>
      <c r="P5" s="119"/>
    </row>
    <row r="6" spans="1:16" ht="18" customHeight="1" x14ac:dyDescent="0.2">
      <c r="A6" s="86"/>
      <c r="B6" s="56" t="s">
        <v>42</v>
      </c>
      <c r="C6" s="55"/>
      <c r="D6" s="57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51</v>
      </c>
      <c r="O6" s="89"/>
      <c r="P6" s="89">
        <f>O5*10%</f>
        <v>35828.1</v>
      </c>
    </row>
    <row r="7" spans="1:16" ht="18" customHeight="1" thickBot="1" x14ac:dyDescent="0.25">
      <c r="A7" s="86"/>
      <c r="B7" s="56"/>
      <c r="C7" s="55"/>
      <c r="D7" s="57"/>
      <c r="E7" s="86"/>
      <c r="F7" s="86"/>
      <c r="G7" s="86"/>
      <c r="H7" s="86"/>
      <c r="I7" s="86"/>
      <c r="J7" s="86"/>
      <c r="K7" s="86"/>
      <c r="L7" s="86"/>
      <c r="M7" s="87"/>
      <c r="N7" s="90" t="s">
        <v>52</v>
      </c>
      <c r="O7" s="91"/>
      <c r="P7" s="91">
        <f>O5-P6</f>
        <v>322452.90000000002</v>
      </c>
    </row>
    <row r="8" spans="1:16" ht="18" customHeight="1" x14ac:dyDescent="0.2">
      <c r="A8" s="11"/>
      <c r="H8" s="63"/>
      <c r="N8" s="62" t="s">
        <v>31</v>
      </c>
      <c r="P8" s="69">
        <f>P7*1%</f>
        <v>3224.5290000000005</v>
      </c>
    </row>
    <row r="9" spans="1:16" ht="18" customHeight="1" thickBot="1" x14ac:dyDescent="0.25">
      <c r="A9" s="11"/>
      <c r="H9" s="63"/>
      <c r="N9" s="62" t="s">
        <v>53</v>
      </c>
      <c r="P9" s="71">
        <f>P7*2%</f>
        <v>6449.0580000000009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319228.37099999998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06" priority="2"/>
  </conditionalFormatting>
  <conditionalFormatting sqref="B4">
    <cfRule type="duplicateValues" dxfId="10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11" sqref="J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406075</v>
      </c>
      <c r="B3" s="74" t="s">
        <v>116</v>
      </c>
      <c r="C3" s="9" t="s">
        <v>117</v>
      </c>
      <c r="D3" s="76" t="s">
        <v>60</v>
      </c>
      <c r="E3" s="13">
        <v>44522</v>
      </c>
      <c r="F3" s="76" t="s">
        <v>61</v>
      </c>
      <c r="G3" s="13">
        <v>44542</v>
      </c>
      <c r="H3" s="10" t="s">
        <v>112</v>
      </c>
      <c r="I3" s="1">
        <v>44</v>
      </c>
      <c r="J3" s="1">
        <v>25</v>
      </c>
      <c r="K3" s="1">
        <v>15</v>
      </c>
      <c r="L3" s="1">
        <v>5</v>
      </c>
      <c r="M3" s="80">
        <v>4.125</v>
      </c>
      <c r="N3" s="8">
        <v>5</v>
      </c>
      <c r="O3" s="64">
        <v>14000</v>
      </c>
      <c r="P3" s="65">
        <f>Table224578910112345678[[#This Row],[PEMBULATAN]]*O3</f>
        <v>70000</v>
      </c>
    </row>
    <row r="4" spans="1:16" ht="26.25" customHeight="1" x14ac:dyDescent="0.2">
      <c r="A4" s="14"/>
      <c r="B4" s="75"/>
      <c r="C4" s="9" t="s">
        <v>118</v>
      </c>
      <c r="D4" s="76" t="s">
        <v>60</v>
      </c>
      <c r="E4" s="13">
        <v>44522</v>
      </c>
      <c r="F4" s="76" t="s">
        <v>61</v>
      </c>
      <c r="G4" s="13">
        <v>44542</v>
      </c>
      <c r="H4" s="10" t="s">
        <v>112</v>
      </c>
      <c r="I4" s="1">
        <v>44</v>
      </c>
      <c r="J4" s="1">
        <v>25</v>
      </c>
      <c r="K4" s="1">
        <v>15</v>
      </c>
      <c r="L4" s="1">
        <v>5</v>
      </c>
      <c r="M4" s="80">
        <v>4.125</v>
      </c>
      <c r="N4" s="8">
        <v>5</v>
      </c>
      <c r="O4" s="64">
        <v>14000</v>
      </c>
      <c r="P4" s="65">
        <f>Table224578910112345678[[#This Row],[PEMBULATAN]]*O4</f>
        <v>70000</v>
      </c>
    </row>
    <row r="5" spans="1:16" ht="26.25" customHeight="1" x14ac:dyDescent="0.2">
      <c r="A5" s="14"/>
      <c r="B5" s="14"/>
      <c r="C5" s="9" t="s">
        <v>119</v>
      </c>
      <c r="D5" s="76" t="s">
        <v>60</v>
      </c>
      <c r="E5" s="13">
        <v>44522</v>
      </c>
      <c r="F5" s="76" t="s">
        <v>61</v>
      </c>
      <c r="G5" s="13">
        <v>44542</v>
      </c>
      <c r="H5" s="10" t="s">
        <v>112</v>
      </c>
      <c r="I5" s="1">
        <v>20</v>
      </c>
      <c r="J5" s="1">
        <v>15</v>
      </c>
      <c r="K5" s="1">
        <v>10</v>
      </c>
      <c r="L5" s="1">
        <v>5</v>
      </c>
      <c r="M5" s="80">
        <v>0.75</v>
      </c>
      <c r="N5" s="8">
        <v>5</v>
      </c>
      <c r="O5" s="64">
        <v>14000</v>
      </c>
      <c r="P5" s="65">
        <f>Table224578910112345678[[#This Row],[PEMBULATAN]]*O5</f>
        <v>70000</v>
      </c>
    </row>
    <row r="6" spans="1:16" ht="22.5" customHeight="1" x14ac:dyDescent="0.2">
      <c r="A6" s="115" t="s">
        <v>30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7"/>
      <c r="M6" s="79">
        <f>SUBTOTAL(109,Table224578910112345678[KG VOLUME])</f>
        <v>9</v>
      </c>
      <c r="N6" s="68">
        <f>SUM(N3:N5)</f>
        <v>15</v>
      </c>
      <c r="O6" s="118">
        <f>SUM(P3:P5)</f>
        <v>210000</v>
      </c>
      <c r="P6" s="119"/>
    </row>
    <row r="7" spans="1:16" ht="18" customHeight="1" x14ac:dyDescent="0.2">
      <c r="A7" s="86"/>
      <c r="B7" s="56" t="s">
        <v>42</v>
      </c>
      <c r="C7" s="55"/>
      <c r="D7" s="57" t="s">
        <v>43</v>
      </c>
      <c r="E7" s="86"/>
      <c r="F7" s="86"/>
      <c r="G7" s="86"/>
      <c r="H7" s="86"/>
      <c r="I7" s="86"/>
      <c r="J7" s="86"/>
      <c r="K7" s="86"/>
      <c r="L7" s="86"/>
      <c r="M7" s="87"/>
      <c r="N7" s="88" t="s">
        <v>51</v>
      </c>
      <c r="O7" s="89"/>
      <c r="P7" s="89">
        <f>O6*10%</f>
        <v>21000</v>
      </c>
    </row>
    <row r="8" spans="1:16" ht="18" customHeight="1" thickBot="1" x14ac:dyDescent="0.25">
      <c r="A8" s="86"/>
      <c r="B8" s="56"/>
      <c r="C8" s="55"/>
      <c r="D8" s="57"/>
      <c r="E8" s="86"/>
      <c r="F8" s="86"/>
      <c r="G8" s="86"/>
      <c r="H8" s="86"/>
      <c r="I8" s="86"/>
      <c r="J8" s="86"/>
      <c r="K8" s="86"/>
      <c r="L8" s="86"/>
      <c r="M8" s="87"/>
      <c r="N8" s="90" t="s">
        <v>52</v>
      </c>
      <c r="O8" s="91"/>
      <c r="P8" s="91">
        <f>O6-P7</f>
        <v>189000</v>
      </c>
    </row>
    <row r="9" spans="1:16" ht="18" customHeight="1" x14ac:dyDescent="0.2">
      <c r="A9" s="11"/>
      <c r="H9" s="63"/>
      <c r="N9" s="62" t="s">
        <v>31</v>
      </c>
      <c r="P9" s="69">
        <f>P8*1%</f>
        <v>1890</v>
      </c>
    </row>
    <row r="10" spans="1:16" ht="18" customHeight="1" thickBot="1" x14ac:dyDescent="0.25">
      <c r="A10" s="11"/>
      <c r="H10" s="63"/>
      <c r="N10" s="62" t="s">
        <v>53</v>
      </c>
      <c r="P10" s="71">
        <f>P8*2%</f>
        <v>3780</v>
      </c>
    </row>
    <row r="11" spans="1:16" ht="18" customHeight="1" x14ac:dyDescent="0.2">
      <c r="A11" s="11"/>
      <c r="H11" s="63"/>
      <c r="N11" s="66" t="s">
        <v>32</v>
      </c>
      <c r="O11" s="67"/>
      <c r="P11" s="70">
        <f>P8+P9-P10</f>
        <v>187110</v>
      </c>
    </row>
    <row r="13" spans="1:16" x14ac:dyDescent="0.2">
      <c r="A13" s="11"/>
      <c r="H13" s="63"/>
      <c r="P13" s="71"/>
    </row>
    <row r="14" spans="1:16" x14ac:dyDescent="0.2">
      <c r="A14" s="11"/>
      <c r="H14" s="63"/>
      <c r="O14" s="58"/>
      <c r="P14" s="71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89" priority="2"/>
  </conditionalFormatting>
  <conditionalFormatting sqref="B4">
    <cfRule type="duplicateValues" dxfId="88" priority="1"/>
  </conditionalFormatting>
  <conditionalFormatting sqref="B5">
    <cfRule type="duplicateValues" dxfId="87" priority="3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2" sqref="O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403718</v>
      </c>
      <c r="B3" s="74" t="s">
        <v>120</v>
      </c>
      <c r="C3" s="9" t="s">
        <v>121</v>
      </c>
      <c r="D3" s="76" t="s">
        <v>60</v>
      </c>
      <c r="E3" s="13">
        <v>44526</v>
      </c>
      <c r="F3" s="76" t="s">
        <v>61</v>
      </c>
      <c r="G3" s="13">
        <v>44542</v>
      </c>
      <c r="H3" s="10" t="s">
        <v>112</v>
      </c>
      <c r="I3" s="1">
        <v>65</v>
      </c>
      <c r="J3" s="1">
        <v>56</v>
      </c>
      <c r="K3" s="1">
        <v>22</v>
      </c>
      <c r="L3" s="1">
        <v>12</v>
      </c>
      <c r="M3" s="80">
        <v>20.02</v>
      </c>
      <c r="N3" s="96">
        <v>20.02</v>
      </c>
      <c r="O3" s="64">
        <v>14000</v>
      </c>
      <c r="P3" s="65">
        <f>Table2245789101123456789[[#This Row],[PEMBULATAN]]*O3</f>
        <v>280280</v>
      </c>
    </row>
    <row r="4" spans="1:16" ht="26.25" customHeight="1" x14ac:dyDescent="0.2">
      <c r="A4" s="14"/>
      <c r="B4" s="75"/>
      <c r="C4" s="9" t="s">
        <v>122</v>
      </c>
      <c r="D4" s="76" t="s">
        <v>60</v>
      </c>
      <c r="E4" s="13">
        <v>44526</v>
      </c>
      <c r="F4" s="76" t="s">
        <v>61</v>
      </c>
      <c r="G4" s="13">
        <v>44542</v>
      </c>
      <c r="H4" s="10" t="s">
        <v>112</v>
      </c>
      <c r="I4" s="1">
        <v>65</v>
      </c>
      <c r="J4" s="1">
        <v>56</v>
      </c>
      <c r="K4" s="1">
        <v>22</v>
      </c>
      <c r="L4" s="1">
        <v>12</v>
      </c>
      <c r="M4" s="80">
        <v>20.02</v>
      </c>
      <c r="N4" s="96">
        <v>20.02</v>
      </c>
      <c r="O4" s="64">
        <v>14000</v>
      </c>
      <c r="P4" s="65">
        <f>Table2245789101123456789[[#This Row],[PEMBULATAN]]*O4</f>
        <v>280280</v>
      </c>
    </row>
    <row r="5" spans="1:16" ht="26.25" customHeight="1" x14ac:dyDescent="0.2">
      <c r="A5" s="14"/>
      <c r="B5" s="14"/>
      <c r="C5" s="9" t="s">
        <v>123</v>
      </c>
      <c r="D5" s="76" t="s">
        <v>60</v>
      </c>
      <c r="E5" s="13">
        <v>44526</v>
      </c>
      <c r="F5" s="76" t="s">
        <v>61</v>
      </c>
      <c r="G5" s="13">
        <v>44542</v>
      </c>
      <c r="H5" s="10" t="s">
        <v>112</v>
      </c>
      <c r="I5" s="1">
        <v>65</v>
      </c>
      <c r="J5" s="1">
        <v>56</v>
      </c>
      <c r="K5" s="1">
        <v>22</v>
      </c>
      <c r="L5" s="1">
        <v>12</v>
      </c>
      <c r="M5" s="80">
        <v>20.02</v>
      </c>
      <c r="N5" s="96">
        <v>20.02</v>
      </c>
      <c r="O5" s="64">
        <v>14000</v>
      </c>
      <c r="P5" s="65">
        <f>Table2245789101123456789[[#This Row],[PEMBULATAN]]*O5</f>
        <v>280280</v>
      </c>
    </row>
    <row r="6" spans="1:16" ht="26.25" customHeight="1" x14ac:dyDescent="0.2">
      <c r="A6" s="14"/>
      <c r="B6" s="14"/>
      <c r="C6" s="73" t="s">
        <v>124</v>
      </c>
      <c r="D6" s="78" t="s">
        <v>60</v>
      </c>
      <c r="E6" s="13">
        <v>44526</v>
      </c>
      <c r="F6" s="76" t="s">
        <v>61</v>
      </c>
      <c r="G6" s="13">
        <v>44542</v>
      </c>
      <c r="H6" s="77" t="s">
        <v>112</v>
      </c>
      <c r="I6" s="16">
        <v>65</v>
      </c>
      <c r="J6" s="16">
        <v>56</v>
      </c>
      <c r="K6" s="16">
        <v>222</v>
      </c>
      <c r="L6" s="16">
        <v>12</v>
      </c>
      <c r="M6" s="81">
        <v>202.02</v>
      </c>
      <c r="N6" s="96">
        <v>202.02</v>
      </c>
      <c r="O6" s="64">
        <v>14000</v>
      </c>
      <c r="P6" s="65">
        <f>Table2245789101123456789[[#This Row],[PEMBULATAN]]*O6</f>
        <v>2828280</v>
      </c>
    </row>
    <row r="7" spans="1:16" ht="26.25" customHeight="1" x14ac:dyDescent="0.2">
      <c r="A7" s="14"/>
      <c r="B7" s="14"/>
      <c r="C7" s="73" t="s">
        <v>125</v>
      </c>
      <c r="D7" s="78" t="s">
        <v>60</v>
      </c>
      <c r="E7" s="13">
        <v>44526</v>
      </c>
      <c r="F7" s="76" t="s">
        <v>61</v>
      </c>
      <c r="G7" s="13">
        <v>44542</v>
      </c>
      <c r="H7" s="77" t="s">
        <v>112</v>
      </c>
      <c r="I7" s="16">
        <v>77</v>
      </c>
      <c r="J7" s="16">
        <v>50</v>
      </c>
      <c r="K7" s="16">
        <v>40</v>
      </c>
      <c r="L7" s="16">
        <v>11</v>
      </c>
      <c r="M7" s="81">
        <v>38.5</v>
      </c>
      <c r="N7" s="96">
        <v>40</v>
      </c>
      <c r="O7" s="64">
        <v>14000</v>
      </c>
      <c r="P7" s="65">
        <f>Table2245789101123456789[[#This Row],[PEMBULATAN]]*O7</f>
        <v>560000</v>
      </c>
    </row>
    <row r="8" spans="1:16" ht="26.25" customHeight="1" x14ac:dyDescent="0.2">
      <c r="A8" s="14"/>
      <c r="B8" s="14"/>
      <c r="C8" s="73" t="s">
        <v>126</v>
      </c>
      <c r="D8" s="78" t="s">
        <v>60</v>
      </c>
      <c r="E8" s="13">
        <v>44526</v>
      </c>
      <c r="F8" s="76" t="s">
        <v>61</v>
      </c>
      <c r="G8" s="13">
        <v>44542</v>
      </c>
      <c r="H8" s="77" t="s">
        <v>112</v>
      </c>
      <c r="I8" s="16">
        <v>50</v>
      </c>
      <c r="J8" s="16">
        <v>45</v>
      </c>
      <c r="K8" s="16">
        <v>42</v>
      </c>
      <c r="L8" s="16">
        <v>11</v>
      </c>
      <c r="M8" s="81">
        <v>23.625</v>
      </c>
      <c r="N8" s="96">
        <v>23.625</v>
      </c>
      <c r="O8" s="64">
        <v>14000</v>
      </c>
      <c r="P8" s="65">
        <f>Table2245789101123456789[[#This Row],[PEMBULATAN]]*O8</f>
        <v>330750</v>
      </c>
    </row>
    <row r="9" spans="1:16" ht="26.25" customHeight="1" x14ac:dyDescent="0.2">
      <c r="A9" s="14"/>
      <c r="B9" s="14"/>
      <c r="C9" s="73" t="s">
        <v>127</v>
      </c>
      <c r="D9" s="78" t="s">
        <v>60</v>
      </c>
      <c r="E9" s="13">
        <v>44526</v>
      </c>
      <c r="F9" s="76" t="s">
        <v>61</v>
      </c>
      <c r="G9" s="13">
        <v>44542</v>
      </c>
      <c r="H9" s="77" t="s">
        <v>112</v>
      </c>
      <c r="I9" s="16">
        <v>50</v>
      </c>
      <c r="J9" s="16">
        <v>45</v>
      </c>
      <c r="K9" s="16">
        <v>42</v>
      </c>
      <c r="L9" s="16">
        <v>11</v>
      </c>
      <c r="M9" s="81">
        <v>23.625</v>
      </c>
      <c r="N9" s="96">
        <v>23.625</v>
      </c>
      <c r="O9" s="64">
        <v>14000</v>
      </c>
      <c r="P9" s="65">
        <f>Table2245789101123456789[[#This Row],[PEMBULATAN]]*O9</f>
        <v>330750</v>
      </c>
    </row>
    <row r="10" spans="1:16" ht="26.25" customHeight="1" x14ac:dyDescent="0.2">
      <c r="A10" s="14"/>
      <c r="B10" s="14"/>
      <c r="C10" s="73" t="s">
        <v>128</v>
      </c>
      <c r="D10" s="78" t="s">
        <v>60</v>
      </c>
      <c r="E10" s="13">
        <v>44526</v>
      </c>
      <c r="F10" s="76" t="s">
        <v>61</v>
      </c>
      <c r="G10" s="13">
        <v>44542</v>
      </c>
      <c r="H10" s="77" t="s">
        <v>112</v>
      </c>
      <c r="I10" s="16">
        <v>50</v>
      </c>
      <c r="J10" s="16">
        <v>45</v>
      </c>
      <c r="K10" s="16">
        <v>42</v>
      </c>
      <c r="L10" s="16">
        <v>11</v>
      </c>
      <c r="M10" s="81">
        <v>23.625</v>
      </c>
      <c r="N10" s="96">
        <v>23.625</v>
      </c>
      <c r="O10" s="64">
        <v>14000</v>
      </c>
      <c r="P10" s="65">
        <f>Table2245789101123456789[[#This Row],[PEMBULATAN]]*O10</f>
        <v>330750</v>
      </c>
    </row>
    <row r="11" spans="1:16" ht="22.5" customHeight="1" x14ac:dyDescent="0.2">
      <c r="A11" s="115" t="s">
        <v>30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7"/>
      <c r="M11" s="79">
        <f>SUBTOTAL(109,Table2245789101123456789[KG VOLUME])</f>
        <v>371.45500000000004</v>
      </c>
      <c r="N11" s="68">
        <f>SUM(N3:N10)</f>
        <v>372.95500000000004</v>
      </c>
      <c r="O11" s="118">
        <f>SUM(P3:P10)</f>
        <v>5221370</v>
      </c>
      <c r="P11" s="119"/>
    </row>
    <row r="12" spans="1:16" ht="18" customHeight="1" x14ac:dyDescent="0.2">
      <c r="A12" s="86"/>
      <c r="B12" s="56" t="s">
        <v>42</v>
      </c>
      <c r="C12" s="55"/>
      <c r="D12" s="57" t="s">
        <v>43</v>
      </c>
      <c r="E12" s="86"/>
      <c r="F12" s="86"/>
      <c r="G12" s="86"/>
      <c r="H12" s="86"/>
      <c r="I12" s="86"/>
      <c r="J12" s="86"/>
      <c r="K12" s="86"/>
      <c r="L12" s="86"/>
      <c r="M12" s="87"/>
      <c r="N12" s="88" t="s">
        <v>51</v>
      </c>
      <c r="O12" s="89"/>
      <c r="P12" s="89">
        <f>O11*10%</f>
        <v>522137</v>
      </c>
    </row>
    <row r="13" spans="1:16" ht="18" customHeight="1" thickBot="1" x14ac:dyDescent="0.25">
      <c r="A13" s="86"/>
      <c r="B13" s="56"/>
      <c r="C13" s="55"/>
      <c r="D13" s="57"/>
      <c r="E13" s="86"/>
      <c r="F13" s="86"/>
      <c r="G13" s="86"/>
      <c r="H13" s="86"/>
      <c r="I13" s="86"/>
      <c r="J13" s="86"/>
      <c r="K13" s="86"/>
      <c r="L13" s="86"/>
      <c r="M13" s="87"/>
      <c r="N13" s="90" t="s">
        <v>52</v>
      </c>
      <c r="O13" s="91"/>
      <c r="P13" s="91">
        <f>O11-P12</f>
        <v>4699233</v>
      </c>
    </row>
    <row r="14" spans="1:16" ht="18" customHeight="1" x14ac:dyDescent="0.2">
      <c r="A14" s="11"/>
      <c r="H14" s="63"/>
      <c r="N14" s="62" t="s">
        <v>31</v>
      </c>
      <c r="P14" s="69">
        <f>P13*1%</f>
        <v>46992.33</v>
      </c>
    </row>
    <row r="15" spans="1:16" ht="18" customHeight="1" thickBot="1" x14ac:dyDescent="0.25">
      <c r="A15" s="11"/>
      <c r="H15" s="63"/>
      <c r="N15" s="62" t="s">
        <v>53</v>
      </c>
      <c r="P15" s="71">
        <f>P13*2%</f>
        <v>93984.66</v>
      </c>
    </row>
    <row r="16" spans="1:16" ht="18" customHeight="1" x14ac:dyDescent="0.2">
      <c r="A16" s="11"/>
      <c r="H16" s="63"/>
      <c r="N16" s="66" t="s">
        <v>32</v>
      </c>
      <c r="O16" s="67"/>
      <c r="P16" s="70">
        <f>P13+P14-P15</f>
        <v>4652240.67</v>
      </c>
    </row>
    <row r="18" spans="1:16" x14ac:dyDescent="0.2">
      <c r="A18" s="11"/>
      <c r="H18" s="63"/>
      <c r="P18" s="71"/>
    </row>
    <row r="19" spans="1:16" x14ac:dyDescent="0.2">
      <c r="A19" s="11"/>
      <c r="H19" s="63"/>
      <c r="O19" s="58"/>
      <c r="P19" s="71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</sheetData>
  <mergeCells count="2">
    <mergeCell ref="A11:L11"/>
    <mergeCell ref="O11:P11"/>
  </mergeCells>
  <conditionalFormatting sqref="B3">
    <cfRule type="duplicateValues" dxfId="71" priority="2"/>
  </conditionalFormatting>
  <conditionalFormatting sqref="B4">
    <cfRule type="duplicateValues" dxfId="70" priority="1"/>
  </conditionalFormatting>
  <conditionalFormatting sqref="B5:B10">
    <cfRule type="duplicateValues" dxfId="69" priority="3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052_Sicepat_Ternate</vt:lpstr>
      <vt:lpstr>402321</vt:lpstr>
      <vt:lpstr>402348</vt:lpstr>
      <vt:lpstr>403856</vt:lpstr>
      <vt:lpstr>403862</vt:lpstr>
      <vt:lpstr>403886</vt:lpstr>
      <vt:lpstr>403892</vt:lpstr>
      <vt:lpstr>406075</vt:lpstr>
      <vt:lpstr>403718</vt:lpstr>
      <vt:lpstr>403722</vt:lpstr>
      <vt:lpstr>403731</vt:lpstr>
      <vt:lpstr>403739</vt:lpstr>
      <vt:lpstr>'052_Sicepat_Ternate'!Print_Titles</vt:lpstr>
      <vt:lpstr>'402321'!Print_Titles</vt:lpstr>
      <vt:lpstr>'402348'!Print_Titles</vt:lpstr>
      <vt:lpstr>'403718'!Print_Titles</vt:lpstr>
      <vt:lpstr>'403722'!Print_Titles</vt:lpstr>
      <vt:lpstr>'403731'!Print_Titles</vt:lpstr>
      <vt:lpstr>'403739'!Print_Titles</vt:lpstr>
      <vt:lpstr>'403856'!Print_Titles</vt:lpstr>
      <vt:lpstr>'403862'!Print_Titles</vt:lpstr>
      <vt:lpstr>'403886'!Print_Titles</vt:lpstr>
      <vt:lpstr>'403892'!Print_Titles</vt:lpstr>
      <vt:lpstr>'406075'!Print_Titles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2021-12-24T06:57:04Z</cp:lastPrinted>
  <dcterms:created xsi:type="dcterms:W3CDTF">2021-07-02T11:08:00Z</dcterms:created>
  <dcterms:modified xsi:type="dcterms:W3CDTF">2021-12-24T08:11:01Z</dcterms:modified>
</cp:coreProperties>
</file>