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0" yWindow="0" windowWidth="20490" windowHeight="7320" tabRatio="842" activeTab="6"/>
  </bookViews>
  <sheets>
    <sheet name="054_Sicepat_Ambon" sheetId="2" r:id="rId1"/>
    <sheet name="403891" sheetId="26" r:id="rId2"/>
    <sheet name="403709" sheetId="57" r:id="rId3"/>
    <sheet name="403716" sheetId="58" r:id="rId4"/>
    <sheet name="403724" sheetId="59" r:id="rId5"/>
    <sheet name="403729" sheetId="60" r:id="rId6"/>
    <sheet name="403738" sheetId="61" r:id="rId7"/>
  </sheets>
  <definedNames>
    <definedName name="_xlnm.Print_Titles" localSheetId="0">'054_Sicepat_Ambon'!$2:$17</definedName>
    <definedName name="_xlnm.Print_Titles" localSheetId="2">'403709'!$2:$2</definedName>
    <definedName name="_xlnm.Print_Titles" localSheetId="3">'403716'!$2:$2</definedName>
    <definedName name="_xlnm.Print_Titles" localSheetId="4">'403724'!$2:$2</definedName>
    <definedName name="_xlnm.Print_Titles" localSheetId="5">'403729'!$2:$2</definedName>
    <definedName name="_xlnm.Print_Titles" localSheetId="6">'403738'!$2:$2</definedName>
    <definedName name="_xlnm.Print_Titles" localSheetId="1">'403891'!$2:$2</definedName>
  </definedNames>
  <calcPr calcId="162913"/>
</workbook>
</file>

<file path=xl/calcChain.xml><?xml version="1.0" encoding="utf-8"?>
<calcChain xmlns="http://schemas.openxmlformats.org/spreadsheetml/2006/main">
  <c r="O8" i="61" l="1"/>
  <c r="N8" i="61"/>
  <c r="O9" i="60"/>
  <c r="N9" i="60"/>
  <c r="O4" i="59"/>
  <c r="N4" i="59"/>
  <c r="O6" i="58"/>
  <c r="N6" i="58"/>
  <c r="G19" i="2" l="1"/>
  <c r="O5" i="26"/>
  <c r="O8" i="57"/>
  <c r="P9" i="57" s="1"/>
  <c r="P7" i="58"/>
  <c r="P5" i="59"/>
  <c r="P9" i="61"/>
  <c r="P10" i="60"/>
  <c r="P6" i="26"/>
  <c r="B23" i="2" l="1"/>
  <c r="B22" i="2"/>
  <c r="B21" i="2"/>
  <c r="B20" i="2"/>
  <c r="B19" i="2"/>
  <c r="B18" i="2"/>
  <c r="C23" i="2" l="1"/>
  <c r="C22" i="2"/>
  <c r="C21" i="2"/>
  <c r="C20" i="2"/>
  <c r="C19" i="2"/>
  <c r="C18" i="2"/>
  <c r="G23" i="2"/>
  <c r="M8" i="61"/>
  <c r="P7" i="61"/>
  <c r="P6" i="61"/>
  <c r="P5" i="61"/>
  <c r="P4" i="61"/>
  <c r="P3" i="61"/>
  <c r="G22" i="2"/>
  <c r="M9" i="60"/>
  <c r="P8" i="60"/>
  <c r="P7" i="60"/>
  <c r="P6" i="60"/>
  <c r="P5" i="60"/>
  <c r="P4" i="60"/>
  <c r="P3" i="60"/>
  <c r="M4" i="59"/>
  <c r="P3" i="59"/>
  <c r="P6" i="59" s="1"/>
  <c r="M6" i="58"/>
  <c r="P5" i="58"/>
  <c r="P4" i="58"/>
  <c r="P3" i="58"/>
  <c r="N8" i="57"/>
  <c r="M8" i="57"/>
  <c r="P7" i="57"/>
  <c r="P6" i="57"/>
  <c r="P5" i="57"/>
  <c r="P4" i="57"/>
  <c r="P3" i="57"/>
  <c r="P10" i="61" l="1"/>
  <c r="P12" i="61" s="1"/>
  <c r="P11" i="60"/>
  <c r="P12" i="60" s="1"/>
  <c r="P8" i="58"/>
  <c r="P10" i="58" s="1"/>
  <c r="P10" i="57"/>
  <c r="P11" i="57" s="1"/>
  <c r="P8" i="59"/>
  <c r="P7" i="59"/>
  <c r="P11" i="61" l="1"/>
  <c r="P13" i="61" s="1"/>
  <c r="P9" i="59"/>
  <c r="P13" i="60"/>
  <c r="P14" i="60" s="1"/>
  <c r="P9" i="58"/>
  <c r="P11" i="58" s="1"/>
  <c r="P12" i="57"/>
  <c r="P13" i="57" s="1"/>
  <c r="I29" i="2"/>
  <c r="I28" i="2"/>
  <c r="I30" i="2" s="1"/>
  <c r="P4" i="26"/>
  <c r="L25" i="2" l="1"/>
  <c r="N5" i="26"/>
  <c r="M5" i="26"/>
  <c r="P3" i="26"/>
  <c r="P7" i="26" l="1"/>
  <c r="P8" i="26" l="1"/>
  <c r="P9" i="26"/>
  <c r="P10" i="26" l="1"/>
  <c r="A19" i="2"/>
  <c r="A20" i="2" s="1"/>
  <c r="A21" i="2" s="1"/>
  <c r="A22" i="2" s="1"/>
  <c r="A23" i="2" s="1"/>
  <c r="J23" i="2"/>
  <c r="J21" i="2"/>
  <c r="J22" i="2"/>
  <c r="J20" i="2"/>
  <c r="J19" i="2"/>
  <c r="I41" i="2" l="1"/>
  <c r="J18" i="2"/>
  <c r="J24" i="2" s="1"/>
  <c r="J26" i="2" s="1"/>
  <c r="J27" i="2" l="1"/>
  <c r="J29" i="2" l="1"/>
  <c r="J28" i="2"/>
  <c r="J30" i="2" l="1"/>
</calcChain>
</file>

<file path=xl/sharedStrings.xml><?xml version="1.0" encoding="utf-8"?>
<sst xmlns="http://schemas.openxmlformats.org/spreadsheetml/2006/main" count="296" uniqueCount="94">
  <si>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</si>
  <si>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</si>
  <si>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</si>
  <si>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</si>
  <si>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</si>
  <si>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</si>
  <si>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</si>
  <si>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</si>
  <si>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</si>
  <si>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</si>
  <si>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</si>
  <si>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</si>
  <si>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</si>
  <si>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</si>
  <si>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</si>
  <si>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</si>
  <si>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</si>
  <si>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</si>
  <si>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</si>
  <si>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</si>
  <si>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</si>
  <si>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</si>
  <si>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</si>
  <si>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</si>
  <si>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</si>
  <si>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</si>
  <si>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</si>
  <si>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</si>
  <si>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</si>
  <si>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</si>
  <si>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</si>
  <si>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</si>
  <si>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</si>
  <si>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</si>
  <si>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</si>
  <si>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</si>
  <si>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</si>
  <si>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</si>
  <si>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</si>
  <si>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</si>
  <si>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</si>
  <si>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</si>
  <si>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</si>
  <si>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</si>
  <si>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</si>
  <si>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</si>
  <si>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</si>
  <si>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</si>
  <si>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</si>
  <si>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</si>
  <si>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</si>
  <si>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</si>
  <si>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</si>
  <si>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</si>
  <si>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</si>
  <si>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</si>
  <si>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DMD/2111/19/QJLB6328</t>
  </si>
  <si>
    <t>GSK211118CEJ548</t>
  </si>
  <si>
    <t>GSK211119CKM124</t>
  </si>
  <si>
    <t>DMP AMQ (AMBON)</t>
  </si>
  <si>
    <t>KM NGAPULU</t>
  </si>
  <si>
    <t>12/13/2021 ALWI</t>
  </si>
  <si>
    <t>DMD/2111/25/JHBK9582</t>
  </si>
  <si>
    <t>GSK211125XUN307</t>
  </si>
  <si>
    <t>GSK211125NXC276</t>
  </si>
  <si>
    <t>GSK211125MHP195</t>
  </si>
  <si>
    <t>GSK211125DFS467</t>
  </si>
  <si>
    <t>GSK211125QKU210</t>
  </si>
  <si>
    <t>DMD/2111/26/SKZO5034</t>
  </si>
  <si>
    <t>GSK211126LXV825</t>
  </si>
  <si>
    <t>GSK211126NLZ963</t>
  </si>
  <si>
    <t>GSK211126OKD750</t>
  </si>
  <si>
    <t>DMD/2111/27/IRCN1037</t>
  </si>
  <si>
    <t>GSK211127RBZ235</t>
  </si>
  <si>
    <t>DMD/2111/28/PXJC5703</t>
  </si>
  <si>
    <t>GSK211127NEO073</t>
  </si>
  <si>
    <t>GSK211127ILB351</t>
  </si>
  <si>
    <t>DMD/2111/28/EAOR5423</t>
  </si>
  <si>
    <t>GSK211127ERC971</t>
  </si>
  <si>
    <t>GSK211127IRH857</t>
  </si>
  <si>
    <t>GSK211127IRS201</t>
  </si>
  <si>
    <t>GSK211128BEA371</t>
  </si>
  <si>
    <t>DMD/2111/30/CBNR0965</t>
  </si>
  <si>
    <t>GSK211130DJE946</t>
  </si>
  <si>
    <t>GSK211130WXY710</t>
  </si>
  <si>
    <t>DMD/2111/30/THUP8935</t>
  </si>
  <si>
    <t>GSK211130GSV134</t>
  </si>
  <si>
    <t>GSK211130FDN539</t>
  </si>
  <si>
    <t>GSK211130QSX785</t>
  </si>
  <si>
    <t xml:space="preserve"> 054/PCI/PI/XII/21</t>
  </si>
  <si>
    <t xml:space="preserve"> 29 Desember 21</t>
  </si>
  <si>
    <t>AMBON</t>
  </si>
  <si>
    <t xml:space="preserve"> NOVEMBER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</si>
  <si>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Juta Enam Ratus Dua Belas Ribu Empat Ratus Delapan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</si>
</sst>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7" fontId="9" fillId="0" borderId="0" xfId="0" applyNumberFormat="1" applyFont="1"/>
    <xf numFmtId="0" fontId="1" fillId="0" borderId="4" xfId="0" applyFont="1" applyBorder="1" applyAlignment="1">
      <alignment horizontal="left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0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41</xdr:row>
      <xdr:rowOff>1304</xdr:rowOff>
    </xdr:from>
    <xdr:to>
      <xdr:col>16</xdr:col>
      <xdr:colOff>514350</xdr:colOff>
      <xdr:row>47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251473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4" totalsRowShown="0" headerRowDxfId="102" dataDxfId="100" headerRowBorderDxfId="101">
  <tableColumns count="12">
    <tableColumn id="1" name="NOMOR" dataDxfId="99" dataCellStyle="Normal"/>
    <tableColumn id="3" name="TUJUAN" dataDxfId="98" dataCellStyle="Normal"/>
    <tableColumn id="16" name="Pick Up" dataDxfId="97"/>
    <tableColumn id="14" name="KAPAL" dataDxfId="96"/>
    <tableColumn id="15" name="ETD Kapal" dataDxfId="95"/>
    <tableColumn id="10" name="KETERANGAN" dataDxfId="94" dataCellStyle="Normal"/>
    <tableColumn id="5" name="P" dataDxfId="93" dataCellStyle="Normal"/>
    <tableColumn id="6" name="L" dataDxfId="92" dataCellStyle="Normal"/>
    <tableColumn id="7" name="T" dataDxfId="91" dataCellStyle="Normal"/>
    <tableColumn id="4" name="ACT KG" dataDxfId="90" dataCellStyle="Normal"/>
    <tableColumn id="8" name="KG VOLUME" dataDxfId="89" dataCellStyle="Normal"/>
    <tableColumn id="19" name="PEMBULATAN" dataDxfId="8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7" totalsRowShown="0" headerRowDxfId="84" dataDxfId="82" headerRowBorderDxfId="83">
  <tableColumns count="12">
    <tableColumn id="1" name="NOMOR" dataDxfId="81" dataCellStyle="Normal"/>
    <tableColumn id="3" name="TUJUAN" dataDxfId="80" dataCellStyle="Normal"/>
    <tableColumn id="16" name="Pick Up" dataDxfId="79"/>
    <tableColumn id="14" name="KAPAL" dataDxfId="78"/>
    <tableColumn id="15" name="ETD Kapal" dataDxfId="77"/>
    <tableColumn id="10" name="KETERANGAN" dataDxfId="76" dataCellStyle="Normal"/>
    <tableColumn id="5" name="P" dataDxfId="75" dataCellStyle="Normal"/>
    <tableColumn id="6" name="L" dataDxfId="74" dataCellStyle="Normal"/>
    <tableColumn id="7" name="T" dataDxfId="73" dataCellStyle="Normal"/>
    <tableColumn id="4" name="ACT KG" dataDxfId="72" dataCellStyle="Normal"/>
    <tableColumn id="8" name="KG VOLUME" dataDxfId="71" dataCellStyle="Normal"/>
    <tableColumn id="19" name="PEMBULATAN" dataDxfId="7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5" totalsRowShown="0" headerRowDxfId="66" dataDxfId="64" headerRowBorderDxfId="65">
  <tableColumns count="12">
    <tableColumn id="1" name="NOMOR" dataDxfId="63" dataCellStyle="Normal"/>
    <tableColumn id="3" name="TUJUAN" dataDxfId="62" dataCellStyle="Normal"/>
    <tableColumn id="16" name="Pick Up" dataDxfId="61"/>
    <tableColumn id="14" name="KAPAL" dataDxfId="60"/>
    <tableColumn id="15" name="ETD Kapal" dataDxfId="59"/>
    <tableColumn id="10" name="KETERANGAN" dataDxfId="58" dataCellStyle="Normal"/>
    <tableColumn id="5" name="P" dataDxfId="57" dataCellStyle="Normal"/>
    <tableColumn id="6" name="L" dataDxfId="56" dataCellStyle="Normal"/>
    <tableColumn id="7" name="T" dataDxfId="55" dataCellStyle="Normal"/>
    <tableColumn id="4" name="ACT KG" dataDxfId="54" dataCellStyle="Normal"/>
    <tableColumn id="8" name="KG VOLUME" dataDxfId="53" dataCellStyle="Normal"/>
    <tableColumn id="19" name="PEMBULATAN" dataDxfId="52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3" totalsRowShown="0" headerRowDxfId="50" dataDxfId="48" headerRowBorderDxfId="49">
  <tableColumns count="12">
    <tableColumn id="1" name="NOMOR" dataDxfId="47" dataCellStyle="Normal"/>
    <tableColumn id="3" name="TUJUAN" dataDxfId="46" dataCellStyle="Normal"/>
    <tableColumn id="16" name="Pick Up" dataDxfId="45"/>
    <tableColumn id="14" name="KAPAL" dataDxfId="44"/>
    <tableColumn id="15" name="ETD Kapal" dataDxfId="43"/>
    <tableColumn id="10" name="KETERANGAN" dataDxfId="42" dataCellStyle="Normal"/>
    <tableColumn id="5" name="P" dataDxfId="41" dataCellStyle="Normal"/>
    <tableColumn id="6" name="L" dataDxfId="40" dataCellStyle="Normal"/>
    <tableColumn id="7" name="T" dataDxfId="39" dataCellStyle="Normal"/>
    <tableColumn id="4" name="ACT KG" dataDxfId="38" dataCellStyle="Normal"/>
    <tableColumn id="8" name="KG VOLUME" dataDxfId="37" dataCellStyle="Normal"/>
    <tableColumn id="19" name="PEMBULATAN" dataDxfId="36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456" displayName="Table2245789101123456" ref="C2:N8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7891011234567" displayName="Table22457891011234567" ref="C2:N7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8"/>
  <sheetViews>
    <sheetView topLeftCell="A25" workbookViewId="0">
      <selection activeCell="G37" sqref="G37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0" t="s">
        <v>14</v>
      </c>
      <c r="B10" s="101"/>
      <c r="C10" s="101"/>
      <c r="D10" s="101"/>
      <c r="E10" s="101"/>
      <c r="F10" s="101"/>
      <c r="G10" s="101"/>
      <c r="H10" s="101"/>
      <c r="I10" s="101"/>
      <c r="J10" s="102"/>
    </row>
    <row r="12" spans="1:10" x14ac:dyDescent="0.25">
      <c r="A12" s="18" t="s">
        <v>15</v>
      </c>
      <c r="B12" s="18" t="s">
        <v>16</v>
      </c>
      <c r="G12" s="112" t="s">
        <v>49</v>
      </c>
      <c r="H12" s="112"/>
      <c r="I12" s="23" t="s">
        <v>17</v>
      </c>
      <c r="J12" s="24" t="s">
        <v>89</v>
      </c>
    </row>
    <row r="13" spans="1:10" x14ac:dyDescent="0.25">
      <c r="G13" s="112" t="s">
        <v>18</v>
      </c>
      <c r="H13" s="112"/>
      <c r="I13" s="23" t="s">
        <v>17</v>
      </c>
      <c r="J13" s="25" t="s">
        <v>90</v>
      </c>
    </row>
    <row r="14" spans="1:10" x14ac:dyDescent="0.25">
      <c r="G14" s="112" t="s">
        <v>50</v>
      </c>
      <c r="H14" s="112"/>
      <c r="I14" s="23" t="s">
        <v>17</v>
      </c>
      <c r="J14" s="18" t="s">
        <v>91</v>
      </c>
    </row>
    <row r="15" spans="1:10" x14ac:dyDescent="0.25">
      <c r="A15" s="18" t="s">
        <v>19</v>
      </c>
      <c r="B15" s="24" t="s">
        <v>20</v>
      </c>
      <c r="C15" s="24"/>
      <c r="I15" s="23"/>
      <c r="J15" s="97" t="s">
        <v>92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3" t="s">
        <v>28</v>
      </c>
      <c r="I17" s="104"/>
      <c r="J17" s="29" t="s">
        <v>29</v>
      </c>
    </row>
    <row r="18" spans="1:12" ht="48" customHeight="1" x14ac:dyDescent="0.25">
      <c r="A18" s="30">
        <v>1</v>
      </c>
      <c r="B18" s="31">
        <f>'403891'!E3</f>
        <v>44519</v>
      </c>
      <c r="C18" s="84">
        <f>'403891'!A3</f>
        <v>403891</v>
      </c>
      <c r="D18" s="32" t="s">
        <v>59</v>
      </c>
      <c r="E18" s="32" t="s">
        <v>91</v>
      </c>
      <c r="F18" s="33">
        <v>2</v>
      </c>
      <c r="G18" s="34">
        <v>100</v>
      </c>
      <c r="H18" s="105">
        <v>14000</v>
      </c>
      <c r="I18" s="106"/>
      <c r="J18" s="35">
        <f>G18*H18</f>
        <v>1400000</v>
      </c>
      <c r="L18"/>
    </row>
    <row r="19" spans="1:12" ht="48" customHeight="1" x14ac:dyDescent="0.25">
      <c r="A19" s="30">
        <f>A18+1</f>
        <v>2</v>
      </c>
      <c r="B19" s="31">
        <f>'403709'!E3</f>
        <v>44525</v>
      </c>
      <c r="C19" s="84">
        <f>'403709'!A3</f>
        <v>403709</v>
      </c>
      <c r="D19" s="32" t="s">
        <v>59</v>
      </c>
      <c r="E19" s="32" t="s">
        <v>91</v>
      </c>
      <c r="F19" s="33">
        <v>5</v>
      </c>
      <c r="G19" s="99">
        <f>'403709'!N8</f>
        <v>170.12350000000001</v>
      </c>
      <c r="H19" s="105">
        <v>14000</v>
      </c>
      <c r="I19" s="106"/>
      <c r="J19" s="35">
        <f t="shared" ref="J19:J20" si="0">G19*H19</f>
        <v>2381729</v>
      </c>
      <c r="L19"/>
    </row>
    <row r="20" spans="1:12" ht="48" customHeight="1" x14ac:dyDescent="0.25">
      <c r="A20" s="30">
        <f t="shared" ref="A20:A23" si="1">A19+1</f>
        <v>3</v>
      </c>
      <c r="B20" s="31">
        <f>'403716'!E3</f>
        <v>44526</v>
      </c>
      <c r="C20" s="84">
        <f>'403716'!A3</f>
        <v>403716</v>
      </c>
      <c r="D20" s="32" t="s">
        <v>59</v>
      </c>
      <c r="E20" s="32" t="s">
        <v>91</v>
      </c>
      <c r="F20" s="33">
        <v>3</v>
      </c>
      <c r="G20" s="99">
        <v>100</v>
      </c>
      <c r="H20" s="105">
        <v>14000</v>
      </c>
      <c r="I20" s="106"/>
      <c r="J20" s="35">
        <f t="shared" si="0"/>
        <v>1400000</v>
      </c>
      <c r="L20"/>
    </row>
    <row r="21" spans="1:12" ht="48" customHeight="1" x14ac:dyDescent="0.25">
      <c r="A21" s="30">
        <f t="shared" si="1"/>
        <v>4</v>
      </c>
      <c r="B21" s="31">
        <f>'403724'!E3</f>
        <v>44527</v>
      </c>
      <c r="C21" s="84">
        <f>'403724'!A3</f>
        <v>403724</v>
      </c>
      <c r="D21" s="32" t="s">
        <v>59</v>
      </c>
      <c r="E21" s="32" t="s">
        <v>91</v>
      </c>
      <c r="F21" s="33">
        <v>1</v>
      </c>
      <c r="G21" s="99">
        <v>100</v>
      </c>
      <c r="H21" s="105">
        <v>14000</v>
      </c>
      <c r="I21" s="106"/>
      <c r="J21" s="35">
        <f>G21*H21</f>
        <v>1400000</v>
      </c>
      <c r="L21"/>
    </row>
    <row r="22" spans="1:12" ht="48" customHeight="1" x14ac:dyDescent="0.25">
      <c r="A22" s="30">
        <f t="shared" si="1"/>
        <v>5</v>
      </c>
      <c r="B22" s="31">
        <f>'403729'!E3</f>
        <v>44528</v>
      </c>
      <c r="C22" s="84">
        <f>'403729'!A3</f>
        <v>403729</v>
      </c>
      <c r="D22" s="32" t="s">
        <v>59</v>
      </c>
      <c r="E22" s="32" t="s">
        <v>91</v>
      </c>
      <c r="F22" s="33">
        <v>6</v>
      </c>
      <c r="G22" s="99">
        <f>'403729'!N9</f>
        <v>127.017</v>
      </c>
      <c r="H22" s="105">
        <v>14000</v>
      </c>
      <c r="I22" s="106"/>
      <c r="J22" s="35">
        <f>G22*H22</f>
        <v>1778238</v>
      </c>
      <c r="L22"/>
    </row>
    <row r="23" spans="1:12" ht="48" customHeight="1" x14ac:dyDescent="0.25">
      <c r="A23" s="30">
        <f t="shared" si="1"/>
        <v>6</v>
      </c>
      <c r="B23" s="31">
        <f>'403738'!E3</f>
        <v>44530</v>
      </c>
      <c r="C23" s="84">
        <f>'403738'!A3</f>
        <v>403738</v>
      </c>
      <c r="D23" s="32" t="s">
        <v>59</v>
      </c>
      <c r="E23" s="32" t="s">
        <v>91</v>
      </c>
      <c r="F23" s="33">
        <v>5</v>
      </c>
      <c r="G23" s="99">
        <f>'403738'!N8</f>
        <v>173.45499999999998</v>
      </c>
      <c r="H23" s="105">
        <v>14000</v>
      </c>
      <c r="I23" s="106"/>
      <c r="J23" s="35">
        <f>G23*H23</f>
        <v>2428370</v>
      </c>
      <c r="L23"/>
    </row>
    <row r="24" spans="1:12" ht="32.25" customHeight="1" thickBot="1" x14ac:dyDescent="0.3">
      <c r="A24" s="107" t="s">
        <v>30</v>
      </c>
      <c r="B24" s="108"/>
      <c r="C24" s="108"/>
      <c r="D24" s="108"/>
      <c r="E24" s="108"/>
      <c r="F24" s="108"/>
      <c r="G24" s="108"/>
      <c r="H24" s="108"/>
      <c r="I24" s="109"/>
      <c r="J24" s="36">
        <f>SUM(J18:J23)</f>
        <v>10788337</v>
      </c>
      <c r="L24" s="82"/>
    </row>
    <row r="25" spans="1:12" x14ac:dyDescent="0.25">
      <c r="A25" s="110"/>
      <c r="B25" s="110"/>
      <c r="C25" s="37"/>
      <c r="D25" s="37"/>
      <c r="E25" s="37"/>
      <c r="F25" s="37"/>
      <c r="G25" s="37"/>
      <c r="H25" s="38"/>
      <c r="I25" s="38"/>
      <c r="J25" s="39"/>
      <c r="L25" s="82">
        <f>'403891'!P10+'403709'!P13+'403716'!P11+'403724'!P9+'403729'!P14+'403738'!P13</f>
        <v>7578288.6795000006</v>
      </c>
    </row>
    <row r="26" spans="1:12" x14ac:dyDescent="0.25">
      <c r="A26" s="85"/>
      <c r="B26" s="85"/>
      <c r="C26" s="85"/>
      <c r="D26" s="85"/>
      <c r="E26" s="85"/>
      <c r="F26" s="85"/>
      <c r="G26" s="40" t="s">
        <v>51</v>
      </c>
      <c r="H26" s="40"/>
      <c r="I26" s="38"/>
      <c r="J26" s="39">
        <f>J24*10%</f>
        <v>1078833.7</v>
      </c>
      <c r="L26" s="41"/>
    </row>
    <row r="27" spans="1:12" x14ac:dyDescent="0.25">
      <c r="A27" s="85"/>
      <c r="B27" s="85"/>
      <c r="C27" s="85"/>
      <c r="D27" s="85"/>
      <c r="E27" s="85"/>
      <c r="F27" s="85"/>
      <c r="G27" s="92" t="s">
        <v>52</v>
      </c>
      <c r="H27" s="92"/>
      <c r="I27" s="93"/>
      <c r="J27" s="95">
        <f>J24-J26</f>
        <v>9709503.3000000007</v>
      </c>
      <c r="L27" s="41"/>
    </row>
    <row r="28" spans="1:12" x14ac:dyDescent="0.25">
      <c r="A28" s="85"/>
      <c r="B28" s="85"/>
      <c r="C28" s="85"/>
      <c r="D28" s="85"/>
      <c r="E28" s="85"/>
      <c r="F28" s="85"/>
      <c r="G28" s="40" t="s">
        <v>31</v>
      </c>
      <c r="H28" s="40"/>
      <c r="I28" s="41" t="e">
        <f>#REF!*1%</f>
        <v>#REF!</v>
      </c>
      <c r="J28" s="39">
        <f>J27*1%</f>
        <v>97095.03300000001</v>
      </c>
    </row>
    <row r="29" spans="1:12" ht="16.5" thickBot="1" x14ac:dyDescent="0.3">
      <c r="A29" s="85"/>
      <c r="B29" s="85"/>
      <c r="C29" s="85"/>
      <c r="D29" s="85"/>
      <c r="E29" s="85"/>
      <c r="F29" s="85"/>
      <c r="G29" s="94" t="s">
        <v>54</v>
      </c>
      <c r="H29" s="94"/>
      <c r="I29" s="42">
        <f>I25*10%</f>
        <v>0</v>
      </c>
      <c r="J29" s="42">
        <f>J27*2%</f>
        <v>194190.06600000002</v>
      </c>
    </row>
    <row r="30" spans="1:12" x14ac:dyDescent="0.25">
      <c r="E30" s="17"/>
      <c r="F30" s="17"/>
      <c r="G30" s="43" t="s">
        <v>55</v>
      </c>
      <c r="H30" s="43"/>
      <c r="I30" s="44" t="e">
        <f>I24+I28</f>
        <v>#REF!</v>
      </c>
      <c r="J30" s="44">
        <f>J27+J28-J29</f>
        <v>9612408.2670000009</v>
      </c>
    </row>
    <row r="31" spans="1:12" x14ac:dyDescent="0.25">
      <c r="E31" s="17"/>
      <c r="F31" s="17"/>
      <c r="G31" s="43"/>
      <c r="H31" s="43"/>
      <c r="I31" s="44"/>
      <c r="J31" s="44"/>
    </row>
    <row r="32" spans="1:12" x14ac:dyDescent="0.25">
      <c r="A32" s="17" t="s">
        <v>93</v>
      </c>
      <c r="D32" s="17"/>
      <c r="E32" s="17"/>
      <c r="F32" s="17"/>
      <c r="G32" s="17"/>
      <c r="H32" s="43"/>
      <c r="I32" s="43"/>
      <c r="J32" s="44"/>
    </row>
    <row r="33" spans="1:10" x14ac:dyDescent="0.25">
      <c r="A33" s="45"/>
      <c r="D33" s="17"/>
      <c r="E33" s="17"/>
      <c r="F33" s="17"/>
      <c r="G33" s="17"/>
      <c r="H33" s="43"/>
      <c r="I33" s="43"/>
      <c r="J33" s="44"/>
    </row>
    <row r="34" spans="1:10" x14ac:dyDescent="0.25">
      <c r="D34" s="17"/>
      <c r="E34" s="17"/>
      <c r="F34" s="17"/>
      <c r="G34" s="17"/>
      <c r="H34" s="43"/>
      <c r="I34" s="43"/>
      <c r="J34" s="44"/>
    </row>
    <row r="35" spans="1:10" x14ac:dyDescent="0.25">
      <c r="A35" s="46" t="s">
        <v>33</v>
      </c>
    </row>
    <row r="36" spans="1:10" x14ac:dyDescent="0.25">
      <c r="A36" s="47" t="s">
        <v>34</v>
      </c>
      <c r="B36" s="48"/>
      <c r="C36" s="48"/>
      <c r="D36" s="49"/>
      <c r="E36" s="49"/>
      <c r="F36" s="49"/>
      <c r="G36" s="49"/>
    </row>
    <row r="37" spans="1:10" x14ac:dyDescent="0.25">
      <c r="A37" s="47" t="s">
        <v>35</v>
      </c>
      <c r="B37" s="48"/>
      <c r="C37" s="48"/>
      <c r="D37" s="49"/>
      <c r="E37" s="49"/>
      <c r="F37" s="49"/>
      <c r="G37" s="49"/>
    </row>
    <row r="38" spans="1:10" x14ac:dyDescent="0.25">
      <c r="A38" s="50" t="s">
        <v>36</v>
      </c>
      <c r="B38" s="51"/>
      <c r="C38" s="51"/>
      <c r="D38" s="49"/>
      <c r="E38" s="49"/>
      <c r="F38" s="49"/>
      <c r="G38" s="49"/>
    </row>
    <row r="39" spans="1:10" x14ac:dyDescent="0.25">
      <c r="A39" s="52" t="s">
        <v>8</v>
      </c>
      <c r="B39" s="53"/>
      <c r="C39" s="53"/>
      <c r="D39" s="49"/>
      <c r="E39" s="49"/>
      <c r="F39" s="49"/>
      <c r="G39" s="49"/>
    </row>
    <row r="40" spans="1:10" x14ac:dyDescent="0.25">
      <c r="A40" s="54"/>
      <c r="B40" s="54"/>
      <c r="C40" s="54"/>
    </row>
    <row r="41" spans="1:10" x14ac:dyDescent="0.25">
      <c r="H41" s="55" t="s">
        <v>37</v>
      </c>
      <c r="I41" s="113" t="str">
        <f>+J13</f>
        <v xml:space="preserve"> 29 Desember 21</v>
      </c>
      <c r="J41" s="114"/>
    </row>
    <row r="45" spans="1:10" ht="18" customHeight="1" x14ac:dyDescent="0.25"/>
    <row r="46" spans="1:10" ht="17.25" customHeight="1" x14ac:dyDescent="0.25"/>
    <row r="48" spans="1:10" x14ac:dyDescent="0.25">
      <c r="H48" s="111" t="s">
        <v>38</v>
      </c>
      <c r="I48" s="111"/>
      <c r="J48" s="111"/>
    </row>
  </sheetData>
  <mergeCells count="15">
    <mergeCell ref="H48:J48"/>
    <mergeCell ref="G14:H14"/>
    <mergeCell ref="G13:H13"/>
    <mergeCell ref="G12:H12"/>
    <mergeCell ref="I41:J41"/>
    <mergeCell ref="A10:J10"/>
    <mergeCell ref="H17:I17"/>
    <mergeCell ref="H18:I18"/>
    <mergeCell ref="A24:I24"/>
    <mergeCell ref="A25:B25"/>
    <mergeCell ref="H19:I19"/>
    <mergeCell ref="H20:I20"/>
    <mergeCell ref="H22:I22"/>
    <mergeCell ref="H21:I21"/>
    <mergeCell ref="H23:I23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12" sqref="G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3">
        <v>403891</v>
      </c>
      <c r="B3" s="74" t="s">
        <v>56</v>
      </c>
      <c r="C3" s="9" t="s">
        <v>57</v>
      </c>
      <c r="D3" s="76" t="s">
        <v>59</v>
      </c>
      <c r="E3" s="13">
        <v>44519</v>
      </c>
      <c r="F3" s="76" t="s">
        <v>60</v>
      </c>
      <c r="G3" s="13">
        <v>44546</v>
      </c>
      <c r="H3" s="10" t="s">
        <v>61</v>
      </c>
      <c r="I3" s="1">
        <v>24</v>
      </c>
      <c r="J3" s="1">
        <v>20</v>
      </c>
      <c r="K3" s="1">
        <v>10</v>
      </c>
      <c r="L3" s="1">
        <v>2</v>
      </c>
      <c r="M3" s="80">
        <v>1.2</v>
      </c>
      <c r="N3" s="96">
        <v>2</v>
      </c>
      <c r="O3" s="65">
        <v>14000</v>
      </c>
      <c r="P3" s="66">
        <f>Table224578910112[[#This Row],[PEMBULATAN]]*O3</f>
        <v>28000</v>
      </c>
    </row>
    <row r="4" spans="1:16" ht="26.25" customHeight="1" x14ac:dyDescent="0.2">
      <c r="A4" s="14"/>
      <c r="B4" s="75"/>
      <c r="C4" s="9" t="s">
        <v>58</v>
      </c>
      <c r="D4" s="76" t="s">
        <v>59</v>
      </c>
      <c r="E4" s="13">
        <v>44519</v>
      </c>
      <c r="F4" s="76" t="s">
        <v>60</v>
      </c>
      <c r="G4" s="13">
        <v>44546</v>
      </c>
      <c r="H4" s="10" t="s">
        <v>61</v>
      </c>
      <c r="I4" s="1">
        <v>85</v>
      </c>
      <c r="J4" s="1">
        <v>58</v>
      </c>
      <c r="K4" s="1">
        <v>45</v>
      </c>
      <c r="L4" s="1">
        <v>14</v>
      </c>
      <c r="M4" s="80">
        <v>55.462499999999999</v>
      </c>
      <c r="N4" s="96">
        <v>56</v>
      </c>
      <c r="O4" s="65">
        <v>14000</v>
      </c>
      <c r="P4" s="66">
        <f>Table224578910112[[#This Row],[PEMBULATAN]]*O4</f>
        <v>784000</v>
      </c>
    </row>
    <row r="5" spans="1:16" ht="22.5" customHeight="1" x14ac:dyDescent="0.2">
      <c r="A5" s="115" t="s">
        <v>30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7"/>
      <c r="M5" s="79">
        <f>SUBTOTAL(109,Table224578910112[KG VOLUME])</f>
        <v>56.662500000000001</v>
      </c>
      <c r="N5" s="69">
        <f>SUM(N3:N4)</f>
        <v>58</v>
      </c>
      <c r="O5" s="118">
        <f>SUM(P3:P4)</f>
        <v>812000</v>
      </c>
      <c r="P5" s="119"/>
    </row>
    <row r="6" spans="1:16" ht="18" customHeight="1" x14ac:dyDescent="0.2">
      <c r="A6" s="86"/>
      <c r="B6" s="57" t="s">
        <v>42</v>
      </c>
      <c r="C6" s="56"/>
      <c r="D6" s="58" t="s">
        <v>43</v>
      </c>
      <c r="E6" s="86"/>
      <c r="F6" s="86"/>
      <c r="G6" s="86"/>
      <c r="H6" s="86"/>
      <c r="I6" s="86"/>
      <c r="J6" s="86"/>
      <c r="K6" s="86"/>
      <c r="L6" s="86"/>
      <c r="M6" s="87"/>
      <c r="N6" s="88" t="s">
        <v>51</v>
      </c>
      <c r="O6" s="89"/>
      <c r="P6" s="89">
        <f>O5*10%</f>
        <v>81200</v>
      </c>
    </row>
    <row r="7" spans="1:16" ht="18" customHeight="1" thickBot="1" x14ac:dyDescent="0.25">
      <c r="A7" s="86"/>
      <c r="B7" s="57"/>
      <c r="C7" s="56"/>
      <c r="D7" s="58"/>
      <c r="E7" s="86"/>
      <c r="F7" s="86"/>
      <c r="G7" s="86"/>
      <c r="H7" s="86"/>
      <c r="I7" s="86"/>
      <c r="J7" s="86"/>
      <c r="K7" s="86"/>
      <c r="L7" s="86"/>
      <c r="M7" s="87"/>
      <c r="N7" s="90" t="s">
        <v>52</v>
      </c>
      <c r="O7" s="91"/>
      <c r="P7" s="91">
        <f>O5-P6</f>
        <v>730800</v>
      </c>
    </row>
    <row r="8" spans="1:16" ht="18" customHeight="1" x14ac:dyDescent="0.2">
      <c r="A8" s="11"/>
      <c r="H8" s="64"/>
      <c r="N8" s="63" t="s">
        <v>31</v>
      </c>
      <c r="P8" s="70">
        <f>P7*1%</f>
        <v>7308</v>
      </c>
    </row>
    <row r="9" spans="1:16" ht="18" customHeight="1" thickBot="1" x14ac:dyDescent="0.25">
      <c r="A9" s="11"/>
      <c r="H9" s="64"/>
      <c r="N9" s="63" t="s">
        <v>53</v>
      </c>
      <c r="P9" s="72">
        <f>P7*2%</f>
        <v>14616</v>
      </c>
    </row>
    <row r="10" spans="1:16" ht="18" customHeight="1" x14ac:dyDescent="0.2">
      <c r="A10" s="11"/>
      <c r="H10" s="64"/>
      <c r="N10" s="67" t="s">
        <v>32</v>
      </c>
      <c r="O10" s="68"/>
      <c r="P10" s="71">
        <f>P7+P8-P9</f>
        <v>723492</v>
      </c>
    </row>
    <row r="12" spans="1:16" x14ac:dyDescent="0.2">
      <c r="A12" s="11"/>
      <c r="H12" s="64"/>
      <c r="P12" s="72"/>
    </row>
    <row r="13" spans="1:16" x14ac:dyDescent="0.2">
      <c r="A13" s="11"/>
      <c r="H13" s="64"/>
      <c r="O13" s="59"/>
      <c r="P13" s="72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104" priority="2"/>
  </conditionalFormatting>
  <conditionalFormatting sqref="B4">
    <cfRule type="duplicateValues" dxfId="103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12" sqref="F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3">
        <v>403709</v>
      </c>
      <c r="B3" s="74" t="s">
        <v>62</v>
      </c>
      <c r="C3" s="9" t="s">
        <v>63</v>
      </c>
      <c r="D3" s="76" t="s">
        <v>59</v>
      </c>
      <c r="E3" s="13">
        <v>44525</v>
      </c>
      <c r="F3" s="76" t="s">
        <v>60</v>
      </c>
      <c r="G3" s="13">
        <v>44546</v>
      </c>
      <c r="H3" s="10" t="s">
        <v>61</v>
      </c>
      <c r="I3" s="1">
        <v>46</v>
      </c>
      <c r="J3" s="1">
        <v>35</v>
      </c>
      <c r="K3" s="1">
        <v>17</v>
      </c>
      <c r="L3" s="1">
        <v>5</v>
      </c>
      <c r="M3" s="80">
        <v>6.8425000000000002</v>
      </c>
      <c r="N3" s="96">
        <v>6.8425000000000002</v>
      </c>
      <c r="O3" s="65">
        <v>14000</v>
      </c>
      <c r="P3" s="66">
        <f>Table2245789101123[[#This Row],[PEMBULATAN]]*O3</f>
        <v>95795</v>
      </c>
    </row>
    <row r="4" spans="1:16" ht="26.25" customHeight="1" x14ac:dyDescent="0.2">
      <c r="A4" s="14"/>
      <c r="B4" s="75"/>
      <c r="C4" s="9" t="s">
        <v>64</v>
      </c>
      <c r="D4" s="76" t="s">
        <v>59</v>
      </c>
      <c r="E4" s="13">
        <v>44525</v>
      </c>
      <c r="F4" s="76" t="s">
        <v>60</v>
      </c>
      <c r="G4" s="13">
        <v>44546</v>
      </c>
      <c r="H4" s="10" t="s">
        <v>61</v>
      </c>
      <c r="I4" s="1">
        <v>83</v>
      </c>
      <c r="J4" s="1">
        <v>83</v>
      </c>
      <c r="K4" s="1">
        <v>28</v>
      </c>
      <c r="L4" s="1">
        <v>12</v>
      </c>
      <c r="M4" s="80">
        <v>48.222999999999999</v>
      </c>
      <c r="N4" s="96">
        <v>48.222999999999999</v>
      </c>
      <c r="O4" s="65">
        <v>14000</v>
      </c>
      <c r="P4" s="66">
        <f>Table2245789101123[[#This Row],[PEMBULATAN]]*O4</f>
        <v>675122</v>
      </c>
    </row>
    <row r="5" spans="1:16" ht="26.25" customHeight="1" x14ac:dyDescent="0.2">
      <c r="A5" s="14"/>
      <c r="B5" s="14"/>
      <c r="C5" s="9" t="s">
        <v>65</v>
      </c>
      <c r="D5" s="76" t="s">
        <v>59</v>
      </c>
      <c r="E5" s="13">
        <v>44525</v>
      </c>
      <c r="F5" s="76" t="s">
        <v>60</v>
      </c>
      <c r="G5" s="13">
        <v>44546</v>
      </c>
      <c r="H5" s="10" t="s">
        <v>61</v>
      </c>
      <c r="I5" s="1">
        <v>83</v>
      </c>
      <c r="J5" s="1">
        <v>83</v>
      </c>
      <c r="K5" s="1">
        <v>28</v>
      </c>
      <c r="L5" s="1">
        <v>12</v>
      </c>
      <c r="M5" s="80">
        <v>48.222999999999999</v>
      </c>
      <c r="N5" s="96">
        <v>48.222999999999999</v>
      </c>
      <c r="O5" s="65">
        <v>14000</v>
      </c>
      <c r="P5" s="66">
        <f>Table2245789101123[[#This Row],[PEMBULATAN]]*O5</f>
        <v>675122</v>
      </c>
    </row>
    <row r="6" spans="1:16" ht="26.25" customHeight="1" x14ac:dyDescent="0.2">
      <c r="A6" s="14"/>
      <c r="B6" s="14"/>
      <c r="C6" s="73" t="s">
        <v>66</v>
      </c>
      <c r="D6" s="78" t="s">
        <v>59</v>
      </c>
      <c r="E6" s="13">
        <v>44525</v>
      </c>
      <c r="F6" s="76" t="s">
        <v>60</v>
      </c>
      <c r="G6" s="13">
        <v>44546</v>
      </c>
      <c r="H6" s="77" t="s">
        <v>61</v>
      </c>
      <c r="I6" s="16">
        <v>83</v>
      </c>
      <c r="J6" s="16">
        <v>83</v>
      </c>
      <c r="K6" s="16">
        <v>28</v>
      </c>
      <c r="L6" s="16">
        <v>12</v>
      </c>
      <c r="M6" s="81">
        <v>48.222999999999999</v>
      </c>
      <c r="N6" s="96">
        <v>48.222999999999999</v>
      </c>
      <c r="O6" s="65">
        <v>14000</v>
      </c>
      <c r="P6" s="66">
        <f>Table2245789101123[[#This Row],[PEMBULATAN]]*O6</f>
        <v>675122</v>
      </c>
    </row>
    <row r="7" spans="1:16" ht="26.25" customHeight="1" x14ac:dyDescent="0.2">
      <c r="A7" s="14"/>
      <c r="B7" s="14"/>
      <c r="C7" s="73" t="s">
        <v>67</v>
      </c>
      <c r="D7" s="78" t="s">
        <v>59</v>
      </c>
      <c r="E7" s="13">
        <v>44525</v>
      </c>
      <c r="F7" s="76" t="s">
        <v>60</v>
      </c>
      <c r="G7" s="13">
        <v>44546</v>
      </c>
      <c r="H7" s="77" t="s">
        <v>61</v>
      </c>
      <c r="I7" s="16">
        <v>47</v>
      </c>
      <c r="J7" s="16">
        <v>44</v>
      </c>
      <c r="K7" s="16">
        <v>36</v>
      </c>
      <c r="L7" s="16">
        <v>12</v>
      </c>
      <c r="M7" s="81">
        <v>18.611999999999998</v>
      </c>
      <c r="N7" s="96">
        <v>18.611999999999998</v>
      </c>
      <c r="O7" s="65">
        <v>14000</v>
      </c>
      <c r="P7" s="66">
        <f>Table2245789101123[[#This Row],[PEMBULATAN]]*O7</f>
        <v>260567.99999999997</v>
      </c>
    </row>
    <row r="8" spans="1:16" ht="22.5" customHeight="1" x14ac:dyDescent="0.2">
      <c r="A8" s="115" t="s">
        <v>30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7"/>
      <c r="M8" s="79">
        <f>SUBTOTAL(109,Table2245789101123[KG VOLUME])</f>
        <v>170.12350000000001</v>
      </c>
      <c r="N8" s="69">
        <f>SUM(N3:N7)</f>
        <v>170.12350000000001</v>
      </c>
      <c r="O8" s="118">
        <f>SUM(P3:P7)</f>
        <v>2381729</v>
      </c>
      <c r="P8" s="119"/>
    </row>
    <row r="9" spans="1:16" ht="18" customHeight="1" x14ac:dyDescent="0.2">
      <c r="A9" s="86"/>
      <c r="B9" s="57" t="s">
        <v>42</v>
      </c>
      <c r="C9" s="56"/>
      <c r="D9" s="58" t="s">
        <v>43</v>
      </c>
      <c r="E9" s="86"/>
      <c r="F9" s="86"/>
      <c r="G9" s="86"/>
      <c r="H9" s="86"/>
      <c r="I9" s="86"/>
      <c r="J9" s="86"/>
      <c r="K9" s="86"/>
      <c r="L9" s="86"/>
      <c r="M9" s="87"/>
      <c r="N9" s="88" t="s">
        <v>51</v>
      </c>
      <c r="O9" s="89"/>
      <c r="P9" s="89">
        <f>O8*10%</f>
        <v>238172.90000000002</v>
      </c>
    </row>
    <row r="10" spans="1:16" ht="18" customHeight="1" thickBot="1" x14ac:dyDescent="0.25">
      <c r="A10" s="86"/>
      <c r="B10" s="57"/>
      <c r="C10" s="56"/>
      <c r="D10" s="58"/>
      <c r="E10" s="86"/>
      <c r="F10" s="86"/>
      <c r="G10" s="86"/>
      <c r="H10" s="86"/>
      <c r="I10" s="86"/>
      <c r="J10" s="86"/>
      <c r="K10" s="86"/>
      <c r="L10" s="86"/>
      <c r="M10" s="87"/>
      <c r="N10" s="90" t="s">
        <v>52</v>
      </c>
      <c r="O10" s="91"/>
      <c r="P10" s="91">
        <f>O8-P9</f>
        <v>2143556.1</v>
      </c>
    </row>
    <row r="11" spans="1:16" ht="18" customHeight="1" x14ac:dyDescent="0.2">
      <c r="A11" s="11"/>
      <c r="H11" s="64"/>
      <c r="N11" s="63" t="s">
        <v>31</v>
      </c>
      <c r="P11" s="70">
        <f>P10*1%</f>
        <v>21435.561000000002</v>
      </c>
    </row>
    <row r="12" spans="1:16" ht="18" customHeight="1" thickBot="1" x14ac:dyDescent="0.25">
      <c r="A12" s="11"/>
      <c r="H12" s="64"/>
      <c r="N12" s="63" t="s">
        <v>53</v>
      </c>
      <c r="P12" s="72">
        <f>P10*2%</f>
        <v>42871.122000000003</v>
      </c>
    </row>
    <row r="13" spans="1:16" ht="18" customHeight="1" x14ac:dyDescent="0.2">
      <c r="A13" s="11"/>
      <c r="H13" s="64"/>
      <c r="N13" s="67" t="s">
        <v>32</v>
      </c>
      <c r="O13" s="68"/>
      <c r="P13" s="71">
        <f>P10+P11-P12</f>
        <v>2122120.5390000003</v>
      </c>
    </row>
    <row r="15" spans="1:16" x14ac:dyDescent="0.2">
      <c r="A15" s="11"/>
      <c r="H15" s="64"/>
      <c r="P15" s="72"/>
    </row>
    <row r="16" spans="1:16" x14ac:dyDescent="0.2">
      <c r="A16" s="11"/>
      <c r="H16" s="64"/>
      <c r="O16" s="59"/>
      <c r="P16" s="72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87" priority="2"/>
  </conditionalFormatting>
  <conditionalFormatting sqref="B4">
    <cfRule type="duplicateValues" dxfId="86" priority="1"/>
  </conditionalFormatting>
  <conditionalFormatting sqref="B5:B7">
    <cfRule type="duplicateValues" dxfId="85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11" sqref="O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3">
        <v>403716</v>
      </c>
      <c r="B3" s="74" t="s">
        <v>68</v>
      </c>
      <c r="C3" s="9" t="s">
        <v>69</v>
      </c>
      <c r="D3" s="76" t="s">
        <v>59</v>
      </c>
      <c r="E3" s="13">
        <v>44526</v>
      </c>
      <c r="F3" s="76" t="s">
        <v>60</v>
      </c>
      <c r="G3" s="13">
        <v>44546</v>
      </c>
      <c r="H3" s="10" t="s">
        <v>61</v>
      </c>
      <c r="I3" s="1">
        <v>50</v>
      </c>
      <c r="J3" s="1">
        <v>40</v>
      </c>
      <c r="K3" s="1">
        <v>40</v>
      </c>
      <c r="L3" s="1">
        <v>11</v>
      </c>
      <c r="M3" s="80">
        <v>20</v>
      </c>
      <c r="N3" s="8">
        <v>20</v>
      </c>
      <c r="O3" s="65">
        <v>14000</v>
      </c>
      <c r="P3" s="66">
        <f>Table22457891011234[[#This Row],[PEMBULATAN]]*O3</f>
        <v>280000</v>
      </c>
    </row>
    <row r="4" spans="1:16" ht="26.25" customHeight="1" x14ac:dyDescent="0.2">
      <c r="A4" s="14"/>
      <c r="B4" s="75"/>
      <c r="C4" s="9" t="s">
        <v>70</v>
      </c>
      <c r="D4" s="76" t="s">
        <v>59</v>
      </c>
      <c r="E4" s="13">
        <v>44526</v>
      </c>
      <c r="F4" s="76" t="s">
        <v>60</v>
      </c>
      <c r="G4" s="13">
        <v>44546</v>
      </c>
      <c r="H4" s="10" t="s">
        <v>61</v>
      </c>
      <c r="I4" s="1">
        <v>40</v>
      </c>
      <c r="J4" s="1">
        <v>30</v>
      </c>
      <c r="K4" s="1">
        <v>46</v>
      </c>
      <c r="L4" s="1">
        <v>11</v>
      </c>
      <c r="M4" s="80">
        <v>13.8</v>
      </c>
      <c r="N4" s="96">
        <v>13.8</v>
      </c>
      <c r="O4" s="65">
        <v>14000</v>
      </c>
      <c r="P4" s="66">
        <f>Table22457891011234[[#This Row],[PEMBULATAN]]*O4</f>
        <v>193200</v>
      </c>
    </row>
    <row r="5" spans="1:16" ht="26.25" customHeight="1" x14ac:dyDescent="0.2">
      <c r="A5" s="14"/>
      <c r="B5" s="14"/>
      <c r="C5" s="9" t="s">
        <v>71</v>
      </c>
      <c r="D5" s="76" t="s">
        <v>59</v>
      </c>
      <c r="E5" s="13">
        <v>44526</v>
      </c>
      <c r="F5" s="76" t="s">
        <v>60</v>
      </c>
      <c r="G5" s="13">
        <v>44546</v>
      </c>
      <c r="H5" s="10" t="s">
        <v>61</v>
      </c>
      <c r="I5" s="1">
        <v>65</v>
      </c>
      <c r="J5" s="1">
        <v>55</v>
      </c>
      <c r="K5" s="1">
        <v>27</v>
      </c>
      <c r="L5" s="1">
        <v>4</v>
      </c>
      <c r="M5" s="80">
        <v>24.131250000000001</v>
      </c>
      <c r="N5" s="96">
        <v>24.131250000000001</v>
      </c>
      <c r="O5" s="65">
        <v>14000</v>
      </c>
      <c r="P5" s="66">
        <f>Table22457891011234[[#This Row],[PEMBULATAN]]*O5</f>
        <v>337837.5</v>
      </c>
    </row>
    <row r="6" spans="1:16" ht="22.5" customHeight="1" x14ac:dyDescent="0.2">
      <c r="A6" s="115" t="s">
        <v>30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7"/>
      <c r="M6" s="79">
        <f>SUBTOTAL(109,Table22457891011234[KG VOLUME])</f>
        <v>57.931249999999999</v>
      </c>
      <c r="N6" s="69">
        <f>SUM(N3:N5)</f>
        <v>57.931249999999999</v>
      </c>
      <c r="O6" s="118">
        <f>SUM(P3:P5)</f>
        <v>811037.5</v>
      </c>
      <c r="P6" s="119"/>
    </row>
    <row r="7" spans="1:16" ht="18" customHeight="1" x14ac:dyDescent="0.2">
      <c r="A7" s="86"/>
      <c r="B7" s="57" t="s">
        <v>42</v>
      </c>
      <c r="C7" s="56"/>
      <c r="D7" s="58" t="s">
        <v>43</v>
      </c>
      <c r="E7" s="86"/>
      <c r="F7" s="86"/>
      <c r="G7" s="86"/>
      <c r="H7" s="86"/>
      <c r="I7" s="86"/>
      <c r="J7" s="86"/>
      <c r="K7" s="86"/>
      <c r="L7" s="86"/>
      <c r="M7" s="87"/>
      <c r="N7" s="88" t="s">
        <v>51</v>
      </c>
      <c r="O7" s="89"/>
      <c r="P7" s="89">
        <f>O6*10%</f>
        <v>81103.75</v>
      </c>
    </row>
    <row r="8" spans="1:16" ht="18" customHeight="1" thickBot="1" x14ac:dyDescent="0.25">
      <c r="A8" s="86"/>
      <c r="B8" s="57"/>
      <c r="C8" s="56"/>
      <c r="D8" s="58"/>
      <c r="E8" s="86"/>
      <c r="F8" s="86"/>
      <c r="G8" s="86"/>
      <c r="H8" s="86"/>
      <c r="I8" s="86"/>
      <c r="J8" s="86"/>
      <c r="K8" s="86"/>
      <c r="L8" s="86"/>
      <c r="M8" s="87"/>
      <c r="N8" s="90" t="s">
        <v>52</v>
      </c>
      <c r="O8" s="91"/>
      <c r="P8" s="91">
        <f>O6-P7</f>
        <v>729933.75</v>
      </c>
    </row>
    <row r="9" spans="1:16" ht="18" customHeight="1" x14ac:dyDescent="0.2">
      <c r="A9" s="11"/>
      <c r="H9" s="64"/>
      <c r="N9" s="63" t="s">
        <v>31</v>
      </c>
      <c r="P9" s="70">
        <f>P8*1%</f>
        <v>7299.3375000000005</v>
      </c>
    </row>
    <row r="10" spans="1:16" ht="18" customHeight="1" thickBot="1" x14ac:dyDescent="0.25">
      <c r="A10" s="11"/>
      <c r="H10" s="64"/>
      <c r="N10" s="63" t="s">
        <v>53</v>
      </c>
      <c r="P10" s="72">
        <f>P8*2%</f>
        <v>14598.675000000001</v>
      </c>
    </row>
    <row r="11" spans="1:16" ht="18" customHeight="1" x14ac:dyDescent="0.2">
      <c r="A11" s="11"/>
      <c r="H11" s="64"/>
      <c r="N11" s="67" t="s">
        <v>32</v>
      </c>
      <c r="O11" s="68"/>
      <c r="P11" s="71">
        <f>P8+P9-P10</f>
        <v>722634.41249999998</v>
      </c>
    </row>
    <row r="13" spans="1:16" x14ac:dyDescent="0.2">
      <c r="A13" s="11"/>
      <c r="H13" s="64"/>
      <c r="P13" s="72"/>
    </row>
    <row r="14" spans="1:16" x14ac:dyDescent="0.2">
      <c r="A14" s="11"/>
      <c r="H14" s="64"/>
      <c r="O14" s="59"/>
      <c r="P14" s="72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69" priority="2"/>
  </conditionalFormatting>
  <conditionalFormatting sqref="B4">
    <cfRule type="duplicateValues" dxfId="68" priority="1"/>
  </conditionalFormatting>
  <conditionalFormatting sqref="B5">
    <cfRule type="duplicateValues" dxfId="67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5" sqref="O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3">
        <v>403724</v>
      </c>
      <c r="B3" s="74" t="s">
        <v>72</v>
      </c>
      <c r="C3" s="9" t="s">
        <v>73</v>
      </c>
      <c r="D3" s="76" t="s">
        <v>59</v>
      </c>
      <c r="E3" s="13">
        <v>44527</v>
      </c>
      <c r="F3" s="76" t="s">
        <v>60</v>
      </c>
      <c r="G3" s="13">
        <v>44546</v>
      </c>
      <c r="H3" s="10" t="s">
        <v>61</v>
      </c>
      <c r="I3" s="1">
        <v>50</v>
      </c>
      <c r="J3" s="1">
        <v>40</v>
      </c>
      <c r="K3" s="1">
        <v>39</v>
      </c>
      <c r="L3" s="1">
        <v>4</v>
      </c>
      <c r="M3" s="80">
        <v>19.5</v>
      </c>
      <c r="N3" s="96">
        <v>21</v>
      </c>
      <c r="O3" s="65">
        <v>14000</v>
      </c>
      <c r="P3" s="66">
        <f>Table224578910112345[[#This Row],[PEMBULATAN]]*O3</f>
        <v>294000</v>
      </c>
    </row>
    <row r="4" spans="1:16" ht="22.5" customHeight="1" x14ac:dyDescent="0.2">
      <c r="A4" s="115" t="s">
        <v>30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7"/>
      <c r="M4" s="79">
        <f>SUBTOTAL(109,Table224578910112345[KG VOLUME])</f>
        <v>19.5</v>
      </c>
      <c r="N4" s="69">
        <f>SUM(N3:N3)</f>
        <v>21</v>
      </c>
      <c r="O4" s="118">
        <f>SUM(P3:P3)</f>
        <v>294000</v>
      </c>
      <c r="P4" s="119"/>
    </row>
    <row r="5" spans="1:16" ht="18" customHeight="1" x14ac:dyDescent="0.2">
      <c r="A5" s="86"/>
      <c r="B5" s="57" t="s">
        <v>42</v>
      </c>
      <c r="C5" s="56"/>
      <c r="D5" s="58" t="s">
        <v>43</v>
      </c>
      <c r="E5" s="86"/>
      <c r="F5" s="86"/>
      <c r="G5" s="86"/>
      <c r="H5" s="86"/>
      <c r="I5" s="86"/>
      <c r="J5" s="86"/>
      <c r="K5" s="86"/>
      <c r="L5" s="86"/>
      <c r="M5" s="87"/>
      <c r="N5" s="88" t="s">
        <v>51</v>
      </c>
      <c r="O5" s="89"/>
      <c r="P5" s="89">
        <f>O4*10%</f>
        <v>29400</v>
      </c>
    </row>
    <row r="6" spans="1:16" ht="18" customHeight="1" thickBot="1" x14ac:dyDescent="0.25">
      <c r="A6" s="86"/>
      <c r="B6" s="57"/>
      <c r="C6" s="56"/>
      <c r="D6" s="58"/>
      <c r="E6" s="86"/>
      <c r="F6" s="86"/>
      <c r="G6" s="86"/>
      <c r="H6" s="86"/>
      <c r="I6" s="86"/>
      <c r="J6" s="86"/>
      <c r="K6" s="86"/>
      <c r="L6" s="86"/>
      <c r="M6" s="87"/>
      <c r="N6" s="90" t="s">
        <v>52</v>
      </c>
      <c r="O6" s="91"/>
      <c r="P6" s="91">
        <f>O4-P5</f>
        <v>264600</v>
      </c>
    </row>
    <row r="7" spans="1:16" ht="18" customHeight="1" x14ac:dyDescent="0.2">
      <c r="A7" s="11"/>
      <c r="H7" s="64"/>
      <c r="N7" s="63" t="s">
        <v>31</v>
      </c>
      <c r="P7" s="70">
        <f>P6*1%</f>
        <v>2646</v>
      </c>
    </row>
    <row r="8" spans="1:16" ht="18" customHeight="1" thickBot="1" x14ac:dyDescent="0.25">
      <c r="A8" s="11"/>
      <c r="H8" s="64"/>
      <c r="N8" s="63" t="s">
        <v>53</v>
      </c>
      <c r="P8" s="72">
        <f>P6*2%</f>
        <v>5292</v>
      </c>
    </row>
    <row r="9" spans="1:16" ht="18" customHeight="1" x14ac:dyDescent="0.2">
      <c r="A9" s="11"/>
      <c r="H9" s="64"/>
      <c r="N9" s="67" t="s">
        <v>32</v>
      </c>
      <c r="O9" s="68"/>
      <c r="P9" s="71">
        <f>P6+P7-P8</f>
        <v>261954</v>
      </c>
    </row>
    <row r="11" spans="1:16" x14ac:dyDescent="0.2">
      <c r="A11" s="11"/>
      <c r="H11" s="64"/>
      <c r="P11" s="72"/>
    </row>
    <row r="12" spans="1:16" x14ac:dyDescent="0.2">
      <c r="A12" s="11"/>
      <c r="H12" s="64"/>
      <c r="O12" s="59"/>
      <c r="P12" s="72"/>
    </row>
    <row r="13" spans="1:16" s="3" customFormat="1" x14ac:dyDescent="0.25">
      <c r="A13" s="11"/>
      <c r="B13" s="2"/>
      <c r="C13" s="2"/>
      <c r="E13" s="12"/>
      <c r="H13" s="64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51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10" sqref="O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3">
        <v>403729</v>
      </c>
      <c r="B3" s="74" t="s">
        <v>74</v>
      </c>
      <c r="C3" s="9" t="s">
        <v>75</v>
      </c>
      <c r="D3" s="76" t="s">
        <v>59</v>
      </c>
      <c r="E3" s="13">
        <v>44528</v>
      </c>
      <c r="F3" s="76" t="s">
        <v>60</v>
      </c>
      <c r="G3" s="13">
        <v>44546</v>
      </c>
      <c r="H3" s="10" t="s">
        <v>61</v>
      </c>
      <c r="I3" s="1">
        <v>148</v>
      </c>
      <c r="J3" s="1">
        <v>65</v>
      </c>
      <c r="K3" s="1">
        <v>9</v>
      </c>
      <c r="L3" s="1">
        <v>13</v>
      </c>
      <c r="M3" s="80">
        <v>21.645</v>
      </c>
      <c r="N3" s="96">
        <v>21.645</v>
      </c>
      <c r="O3" s="65">
        <v>14000</v>
      </c>
      <c r="P3" s="66">
        <f>Table2245789101123456[[#This Row],[PEMBULATAN]]*O3</f>
        <v>303030</v>
      </c>
    </row>
    <row r="4" spans="1:16" ht="26.25" customHeight="1" x14ac:dyDescent="0.2">
      <c r="A4" s="14"/>
      <c r="B4" s="98"/>
      <c r="C4" s="9" t="s">
        <v>76</v>
      </c>
      <c r="D4" s="76" t="s">
        <v>59</v>
      </c>
      <c r="E4" s="13">
        <v>44528</v>
      </c>
      <c r="F4" s="76" t="s">
        <v>60</v>
      </c>
      <c r="G4" s="13">
        <v>44546</v>
      </c>
      <c r="H4" s="10" t="s">
        <v>61</v>
      </c>
      <c r="I4" s="1">
        <v>148</v>
      </c>
      <c r="J4" s="1">
        <v>65</v>
      </c>
      <c r="K4" s="1">
        <v>9</v>
      </c>
      <c r="L4" s="1">
        <v>13</v>
      </c>
      <c r="M4" s="80">
        <v>21.645</v>
      </c>
      <c r="N4" s="96">
        <v>21.645</v>
      </c>
      <c r="O4" s="65">
        <v>14000</v>
      </c>
      <c r="P4" s="66">
        <f>Table2245789101123456[[#This Row],[PEMBULATAN]]*O4</f>
        <v>303030</v>
      </c>
    </row>
    <row r="5" spans="1:16" ht="26.25" customHeight="1" x14ac:dyDescent="0.2">
      <c r="A5" s="14"/>
      <c r="B5" s="14" t="s">
        <v>77</v>
      </c>
      <c r="C5" s="9" t="s">
        <v>78</v>
      </c>
      <c r="D5" s="76" t="s">
        <v>59</v>
      </c>
      <c r="E5" s="13">
        <v>44528</v>
      </c>
      <c r="F5" s="76" t="s">
        <v>60</v>
      </c>
      <c r="G5" s="13">
        <v>44546</v>
      </c>
      <c r="H5" s="10" t="s">
        <v>61</v>
      </c>
      <c r="I5" s="1">
        <v>148</v>
      </c>
      <c r="J5" s="1">
        <v>65</v>
      </c>
      <c r="K5" s="1">
        <v>9</v>
      </c>
      <c r="L5" s="1">
        <v>13</v>
      </c>
      <c r="M5" s="80">
        <v>21.645</v>
      </c>
      <c r="N5" s="96">
        <v>21.645</v>
      </c>
      <c r="O5" s="65">
        <v>14000</v>
      </c>
      <c r="P5" s="66">
        <f>Table2245789101123456[[#This Row],[PEMBULATAN]]*O5</f>
        <v>303030</v>
      </c>
    </row>
    <row r="6" spans="1:16" ht="26.25" customHeight="1" x14ac:dyDescent="0.2">
      <c r="A6" s="14"/>
      <c r="B6" s="14"/>
      <c r="C6" s="73" t="s">
        <v>79</v>
      </c>
      <c r="D6" s="78" t="s">
        <v>59</v>
      </c>
      <c r="E6" s="13">
        <v>44528</v>
      </c>
      <c r="F6" s="76" t="s">
        <v>60</v>
      </c>
      <c r="G6" s="13">
        <v>44546</v>
      </c>
      <c r="H6" s="77" t="s">
        <v>61</v>
      </c>
      <c r="I6" s="16">
        <v>148</v>
      </c>
      <c r="J6" s="16">
        <v>65</v>
      </c>
      <c r="K6" s="16">
        <v>9</v>
      </c>
      <c r="L6" s="16">
        <v>13</v>
      </c>
      <c r="M6" s="81">
        <v>21.645</v>
      </c>
      <c r="N6" s="96">
        <v>21.645</v>
      </c>
      <c r="O6" s="65">
        <v>14000</v>
      </c>
      <c r="P6" s="66">
        <f>Table2245789101123456[[#This Row],[PEMBULATAN]]*O6</f>
        <v>303030</v>
      </c>
    </row>
    <row r="7" spans="1:16" ht="26.25" customHeight="1" x14ac:dyDescent="0.2">
      <c r="A7" s="14"/>
      <c r="B7" s="14"/>
      <c r="C7" s="73" t="s">
        <v>80</v>
      </c>
      <c r="D7" s="78" t="s">
        <v>59</v>
      </c>
      <c r="E7" s="13">
        <v>44528</v>
      </c>
      <c r="F7" s="76" t="s">
        <v>60</v>
      </c>
      <c r="G7" s="13">
        <v>44546</v>
      </c>
      <c r="H7" s="77" t="s">
        <v>61</v>
      </c>
      <c r="I7" s="16">
        <v>148</v>
      </c>
      <c r="J7" s="16">
        <v>65</v>
      </c>
      <c r="K7" s="16">
        <v>9</v>
      </c>
      <c r="L7" s="16">
        <v>13</v>
      </c>
      <c r="M7" s="81">
        <v>21.645</v>
      </c>
      <c r="N7" s="96">
        <v>21.645</v>
      </c>
      <c r="O7" s="65">
        <v>14000</v>
      </c>
      <c r="P7" s="66">
        <f>Table2245789101123456[[#This Row],[PEMBULATAN]]*O7</f>
        <v>303030</v>
      </c>
    </row>
    <row r="8" spans="1:16" ht="26.25" customHeight="1" x14ac:dyDescent="0.2">
      <c r="A8" s="14"/>
      <c r="B8" s="14"/>
      <c r="C8" s="73" t="s">
        <v>81</v>
      </c>
      <c r="D8" s="78" t="s">
        <v>59</v>
      </c>
      <c r="E8" s="13">
        <v>44528</v>
      </c>
      <c r="F8" s="76" t="s">
        <v>60</v>
      </c>
      <c r="G8" s="13">
        <v>44546</v>
      </c>
      <c r="H8" s="77" t="s">
        <v>61</v>
      </c>
      <c r="I8" s="16">
        <v>36</v>
      </c>
      <c r="J8" s="16">
        <v>36</v>
      </c>
      <c r="K8" s="16">
        <v>58</v>
      </c>
      <c r="L8" s="16">
        <v>13</v>
      </c>
      <c r="M8" s="81">
        <v>18.792000000000002</v>
      </c>
      <c r="N8" s="96">
        <v>18.792000000000002</v>
      </c>
      <c r="O8" s="65">
        <v>14000</v>
      </c>
      <c r="P8" s="66">
        <f>Table2245789101123456[[#This Row],[PEMBULATAN]]*O8</f>
        <v>263088</v>
      </c>
    </row>
    <row r="9" spans="1:16" ht="22.5" customHeight="1" x14ac:dyDescent="0.2">
      <c r="A9" s="115" t="s">
        <v>30</v>
      </c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7"/>
      <c r="M9" s="79">
        <f>SUBTOTAL(109,Table2245789101123456[KG VOLUME])</f>
        <v>127.017</v>
      </c>
      <c r="N9" s="69">
        <f>SUM(N3:N8)</f>
        <v>127.017</v>
      </c>
      <c r="O9" s="118">
        <f>SUM(P3:P8)</f>
        <v>1778238</v>
      </c>
      <c r="P9" s="119"/>
    </row>
    <row r="10" spans="1:16" ht="18" customHeight="1" x14ac:dyDescent="0.2">
      <c r="A10" s="86"/>
      <c r="B10" s="57" t="s">
        <v>42</v>
      </c>
      <c r="C10" s="56"/>
      <c r="D10" s="58" t="s">
        <v>43</v>
      </c>
      <c r="E10" s="86"/>
      <c r="F10" s="86"/>
      <c r="G10" s="86"/>
      <c r="H10" s="86"/>
      <c r="I10" s="86"/>
      <c r="J10" s="86"/>
      <c r="K10" s="86"/>
      <c r="L10" s="86"/>
      <c r="M10" s="87"/>
      <c r="N10" s="88" t="s">
        <v>51</v>
      </c>
      <c r="O10" s="89"/>
      <c r="P10" s="89">
        <f>O9*10%</f>
        <v>177823.80000000002</v>
      </c>
    </row>
    <row r="11" spans="1:16" ht="18" customHeight="1" thickBot="1" x14ac:dyDescent="0.25">
      <c r="A11" s="86"/>
      <c r="B11" s="57"/>
      <c r="C11" s="56"/>
      <c r="D11" s="58"/>
      <c r="E11" s="86"/>
      <c r="F11" s="86"/>
      <c r="G11" s="86"/>
      <c r="H11" s="86"/>
      <c r="I11" s="86"/>
      <c r="J11" s="86"/>
      <c r="K11" s="86"/>
      <c r="L11" s="86"/>
      <c r="M11" s="87"/>
      <c r="N11" s="90" t="s">
        <v>52</v>
      </c>
      <c r="O11" s="91"/>
      <c r="P11" s="91">
        <f>O9-P10</f>
        <v>1600414.2</v>
      </c>
    </row>
    <row r="12" spans="1:16" ht="18" customHeight="1" x14ac:dyDescent="0.2">
      <c r="A12" s="11"/>
      <c r="H12" s="64"/>
      <c r="N12" s="63" t="s">
        <v>31</v>
      </c>
      <c r="P12" s="70">
        <f>P11*1%</f>
        <v>16004.142</v>
      </c>
    </row>
    <row r="13" spans="1:16" ht="18" customHeight="1" thickBot="1" x14ac:dyDescent="0.25">
      <c r="A13" s="11"/>
      <c r="H13" s="64"/>
      <c r="N13" s="63" t="s">
        <v>53</v>
      </c>
      <c r="P13" s="72">
        <f>P11*2%</f>
        <v>32008.284</v>
      </c>
    </row>
    <row r="14" spans="1:16" ht="18" customHeight="1" x14ac:dyDescent="0.2">
      <c r="A14" s="11"/>
      <c r="H14" s="64"/>
      <c r="N14" s="67" t="s">
        <v>32</v>
      </c>
      <c r="O14" s="68"/>
      <c r="P14" s="71">
        <f>P11+P12-P13</f>
        <v>1584410.058</v>
      </c>
    </row>
    <row r="16" spans="1:16" x14ac:dyDescent="0.2">
      <c r="A16" s="11"/>
      <c r="H16" s="64"/>
      <c r="P16" s="72"/>
    </row>
    <row r="17" spans="1:16" x14ac:dyDescent="0.2">
      <c r="A17" s="11"/>
      <c r="H17" s="64"/>
      <c r="O17" s="59"/>
      <c r="P17" s="72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</sheetData>
  <mergeCells count="2">
    <mergeCell ref="A9:L9"/>
    <mergeCell ref="O9:P9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:B8">
    <cfRule type="duplicateValues" dxfId="33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tabSelected="1"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11" sqref="D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3">
        <v>403738</v>
      </c>
      <c r="B3" s="74" t="s">
        <v>82</v>
      </c>
      <c r="C3" s="9" t="s">
        <v>83</v>
      </c>
      <c r="D3" s="76" t="s">
        <v>59</v>
      </c>
      <c r="E3" s="13">
        <v>44530</v>
      </c>
      <c r="F3" s="76" t="s">
        <v>60</v>
      </c>
      <c r="G3" s="13">
        <v>44546</v>
      </c>
      <c r="H3" s="10" t="s">
        <v>61</v>
      </c>
      <c r="I3" s="1">
        <v>45</v>
      </c>
      <c r="J3" s="1">
        <v>28</v>
      </c>
      <c r="K3" s="1">
        <v>20</v>
      </c>
      <c r="L3" s="1">
        <v>5</v>
      </c>
      <c r="M3" s="80">
        <v>6.3</v>
      </c>
      <c r="N3" s="96">
        <v>7</v>
      </c>
      <c r="O3" s="65">
        <v>14000</v>
      </c>
      <c r="P3" s="66">
        <f>Table22457891011234567[[#This Row],[PEMBULATAN]]*O3</f>
        <v>98000</v>
      </c>
    </row>
    <row r="4" spans="1:16" ht="26.25" customHeight="1" x14ac:dyDescent="0.2">
      <c r="A4" s="14"/>
      <c r="B4" s="98"/>
      <c r="C4" s="9" t="s">
        <v>84</v>
      </c>
      <c r="D4" s="76" t="s">
        <v>59</v>
      </c>
      <c r="E4" s="13">
        <v>44530</v>
      </c>
      <c r="F4" s="76" t="s">
        <v>60</v>
      </c>
      <c r="G4" s="13">
        <v>44546</v>
      </c>
      <c r="H4" s="10" t="s">
        <v>61</v>
      </c>
      <c r="I4" s="1">
        <v>45</v>
      </c>
      <c r="J4" s="1">
        <v>45</v>
      </c>
      <c r="K4" s="1">
        <v>45</v>
      </c>
      <c r="L4" s="1">
        <v>15</v>
      </c>
      <c r="M4" s="80">
        <v>22.78125</v>
      </c>
      <c r="N4" s="96">
        <v>22.78125</v>
      </c>
      <c r="O4" s="65">
        <v>14000</v>
      </c>
      <c r="P4" s="66">
        <f>Table22457891011234567[[#This Row],[PEMBULATAN]]*O4</f>
        <v>318937.5</v>
      </c>
    </row>
    <row r="5" spans="1:16" ht="26.25" customHeight="1" x14ac:dyDescent="0.2">
      <c r="A5" s="14"/>
      <c r="B5" s="14" t="s">
        <v>85</v>
      </c>
      <c r="C5" s="9" t="s">
        <v>86</v>
      </c>
      <c r="D5" s="76" t="s">
        <v>59</v>
      </c>
      <c r="E5" s="13">
        <v>44530</v>
      </c>
      <c r="F5" s="76" t="s">
        <v>60</v>
      </c>
      <c r="G5" s="13">
        <v>44546</v>
      </c>
      <c r="H5" s="10" t="s">
        <v>61</v>
      </c>
      <c r="I5" s="1">
        <v>43</v>
      </c>
      <c r="J5" s="1">
        <v>55</v>
      </c>
      <c r="K5" s="1">
        <v>81</v>
      </c>
      <c r="L5" s="1">
        <v>15</v>
      </c>
      <c r="M5" s="80">
        <v>47.891249999999999</v>
      </c>
      <c r="N5" s="96">
        <v>47.891249999999999</v>
      </c>
      <c r="O5" s="65">
        <v>14000</v>
      </c>
      <c r="P5" s="66">
        <f>Table22457891011234567[[#This Row],[PEMBULATAN]]*O5</f>
        <v>670477.5</v>
      </c>
    </row>
    <row r="6" spans="1:16" ht="26.25" customHeight="1" x14ac:dyDescent="0.2">
      <c r="A6" s="14"/>
      <c r="B6" s="14"/>
      <c r="C6" s="73" t="s">
        <v>87</v>
      </c>
      <c r="D6" s="78" t="s">
        <v>59</v>
      </c>
      <c r="E6" s="13">
        <v>44530</v>
      </c>
      <c r="F6" s="76" t="s">
        <v>60</v>
      </c>
      <c r="G6" s="13">
        <v>44546</v>
      </c>
      <c r="H6" s="77" t="s">
        <v>61</v>
      </c>
      <c r="I6" s="16">
        <v>43</v>
      </c>
      <c r="J6" s="16">
        <v>55</v>
      </c>
      <c r="K6" s="16">
        <v>81</v>
      </c>
      <c r="L6" s="16">
        <v>15</v>
      </c>
      <c r="M6" s="81">
        <v>47.891249999999999</v>
      </c>
      <c r="N6" s="96">
        <v>47.891249999999999</v>
      </c>
      <c r="O6" s="65">
        <v>14000</v>
      </c>
      <c r="P6" s="66">
        <f>Table22457891011234567[[#This Row],[PEMBULATAN]]*O6</f>
        <v>670477.5</v>
      </c>
    </row>
    <row r="7" spans="1:16" ht="26.25" customHeight="1" x14ac:dyDescent="0.2">
      <c r="A7" s="14"/>
      <c r="B7" s="14"/>
      <c r="C7" s="73" t="s">
        <v>88</v>
      </c>
      <c r="D7" s="78" t="s">
        <v>59</v>
      </c>
      <c r="E7" s="13">
        <v>44530</v>
      </c>
      <c r="F7" s="76" t="s">
        <v>60</v>
      </c>
      <c r="G7" s="13">
        <v>44546</v>
      </c>
      <c r="H7" s="77" t="s">
        <v>61</v>
      </c>
      <c r="I7" s="16">
        <v>43</v>
      </c>
      <c r="J7" s="16">
        <v>55</v>
      </c>
      <c r="K7" s="16">
        <v>81</v>
      </c>
      <c r="L7" s="16">
        <v>15</v>
      </c>
      <c r="M7" s="81">
        <v>47.891249999999999</v>
      </c>
      <c r="N7" s="96">
        <v>47.891249999999999</v>
      </c>
      <c r="O7" s="65">
        <v>14000</v>
      </c>
      <c r="P7" s="66">
        <f>Table22457891011234567[[#This Row],[PEMBULATAN]]*O7</f>
        <v>670477.5</v>
      </c>
    </row>
    <row r="8" spans="1:16" ht="22.5" customHeight="1" x14ac:dyDescent="0.2">
      <c r="A8" s="115" t="s">
        <v>30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7"/>
      <c r="M8" s="79">
        <f>SUBTOTAL(109,Table22457891011234567[KG VOLUME])</f>
        <v>172.755</v>
      </c>
      <c r="N8" s="69">
        <f>SUM(N3:N7)</f>
        <v>173.45499999999998</v>
      </c>
      <c r="O8" s="118">
        <f>SUM(P3:P7)</f>
        <v>2428370</v>
      </c>
      <c r="P8" s="119"/>
    </row>
    <row r="9" spans="1:16" ht="18" customHeight="1" x14ac:dyDescent="0.2">
      <c r="A9" s="86"/>
      <c r="B9" s="57" t="s">
        <v>42</v>
      </c>
      <c r="C9" s="56"/>
      <c r="D9" s="58" t="s">
        <v>43</v>
      </c>
      <c r="E9" s="86"/>
      <c r="F9" s="86"/>
      <c r="G9" s="86"/>
      <c r="H9" s="86"/>
      <c r="I9" s="86"/>
      <c r="J9" s="86"/>
      <c r="K9" s="86"/>
      <c r="L9" s="86"/>
      <c r="M9" s="87"/>
      <c r="N9" s="88" t="s">
        <v>51</v>
      </c>
      <c r="O9" s="89"/>
      <c r="P9" s="89">
        <f>O8*10%</f>
        <v>242837</v>
      </c>
    </row>
    <row r="10" spans="1:16" ht="18" customHeight="1" thickBot="1" x14ac:dyDescent="0.25">
      <c r="A10" s="86"/>
      <c r="B10" s="57"/>
      <c r="C10" s="56"/>
      <c r="D10" s="58"/>
      <c r="E10" s="86"/>
      <c r="F10" s="86"/>
      <c r="G10" s="86"/>
      <c r="H10" s="86"/>
      <c r="I10" s="86"/>
      <c r="J10" s="86"/>
      <c r="K10" s="86"/>
      <c r="L10" s="86"/>
      <c r="M10" s="87"/>
      <c r="N10" s="90" t="s">
        <v>52</v>
      </c>
      <c r="O10" s="91"/>
      <c r="P10" s="91">
        <f>O8-P9</f>
        <v>2185533</v>
      </c>
    </row>
    <row r="11" spans="1:16" ht="18" customHeight="1" x14ac:dyDescent="0.2">
      <c r="A11" s="11"/>
      <c r="H11" s="64"/>
      <c r="N11" s="63" t="s">
        <v>31</v>
      </c>
      <c r="P11" s="70">
        <f>P10*1%</f>
        <v>21855.33</v>
      </c>
    </row>
    <row r="12" spans="1:16" ht="18" customHeight="1" thickBot="1" x14ac:dyDescent="0.25">
      <c r="A12" s="11"/>
      <c r="H12" s="64"/>
      <c r="N12" s="63" t="s">
        <v>53</v>
      </c>
      <c r="P12" s="72">
        <f>P10*2%</f>
        <v>43710.66</v>
      </c>
    </row>
    <row r="13" spans="1:16" ht="18" customHeight="1" x14ac:dyDescent="0.2">
      <c r="A13" s="11"/>
      <c r="H13" s="64"/>
      <c r="N13" s="67" t="s">
        <v>32</v>
      </c>
      <c r="O13" s="68"/>
      <c r="P13" s="71">
        <f>P10+P11-P12</f>
        <v>2163677.67</v>
      </c>
    </row>
    <row r="15" spans="1:16" x14ac:dyDescent="0.2">
      <c r="A15" s="11"/>
      <c r="H15" s="64"/>
      <c r="P15" s="72"/>
    </row>
    <row r="16" spans="1:16" x14ac:dyDescent="0.2">
      <c r="A16" s="11"/>
      <c r="H16" s="64"/>
      <c r="O16" s="59"/>
      <c r="P16" s="72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7">
    <cfRule type="duplicateValues" dxfId="15" priority="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054_Sicepat_Ambon</vt:lpstr>
      <vt:lpstr>403891</vt:lpstr>
      <vt:lpstr>403709</vt:lpstr>
      <vt:lpstr>403716</vt:lpstr>
      <vt:lpstr>403724</vt:lpstr>
      <vt:lpstr>403729</vt:lpstr>
      <vt:lpstr>403738</vt:lpstr>
      <vt:lpstr>'054_Sicepat_Ambon'!Print_Titles</vt:lpstr>
      <vt:lpstr>'403709'!Print_Titles</vt:lpstr>
      <vt:lpstr>'403716'!Print_Titles</vt:lpstr>
      <vt:lpstr>'403724'!Print_Titles</vt:lpstr>
      <vt:lpstr>'403729'!Print_Titles</vt:lpstr>
      <vt:lpstr>'403738'!Print_Titles</vt:lpstr>
      <vt:lpstr>'403891'!Print_Titles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2022-01-07T11:30:20Z</cp:lastPrinted>
  <dcterms:created xsi:type="dcterms:W3CDTF">2021-07-02T11:08:00Z</dcterms:created>
  <dcterms:modified xsi:type="dcterms:W3CDTF">2022-01-11T05:05:59Z</dcterms:modified>
</cp:coreProperties>
</file>