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55_Sicepat_TJQ" sheetId="2" r:id="rId1"/>
    <sheet name="402445" sheetId="26" r:id="rId2"/>
    <sheet name="402318" sheetId="57" r:id="rId3"/>
    <sheet name="402322" sheetId="58" r:id="rId4"/>
    <sheet name="402329" sheetId="59" r:id="rId5"/>
    <sheet name="402333" sheetId="60" r:id="rId6"/>
    <sheet name="402337" sheetId="61" r:id="rId7"/>
    <sheet name="402341" sheetId="62" r:id="rId8"/>
    <sheet name="402345" sheetId="63" r:id="rId9"/>
    <sheet name="403868" sheetId="64" r:id="rId10"/>
    <sheet name="403879" sheetId="65" r:id="rId11"/>
    <sheet name="403885" sheetId="66" r:id="rId12"/>
    <sheet name="403900" sheetId="67" r:id="rId13"/>
    <sheet name="406076" sheetId="68" r:id="rId14"/>
    <sheet name="403715" sheetId="69" r:id="rId15"/>
    <sheet name="403733" sheetId="70" r:id="rId16"/>
    <sheet name="403740" sheetId="71" r:id="rId17"/>
  </sheets>
  <definedNames>
    <definedName name="_xlnm.Print_Titles" localSheetId="0">'055_Sicepat_TJQ'!$2:$17</definedName>
    <definedName name="_xlnm.Print_Titles" localSheetId="2">'402318'!$2:$2</definedName>
    <definedName name="_xlnm.Print_Titles" localSheetId="3">'402322'!$2:$2</definedName>
    <definedName name="_xlnm.Print_Titles" localSheetId="4">'402329'!$2:$2</definedName>
    <definedName name="_xlnm.Print_Titles" localSheetId="5">'402333'!$2:$2</definedName>
    <definedName name="_xlnm.Print_Titles" localSheetId="6">'402337'!$2:$2</definedName>
    <definedName name="_xlnm.Print_Titles" localSheetId="7">'402341'!$2:$2</definedName>
    <definedName name="_xlnm.Print_Titles" localSheetId="8">'402345'!$2:$2</definedName>
    <definedName name="_xlnm.Print_Titles" localSheetId="1">'402445'!$2:$2</definedName>
    <definedName name="_xlnm.Print_Titles" localSheetId="14">'403715'!$2:$2</definedName>
    <definedName name="_xlnm.Print_Titles" localSheetId="15">'403733'!$2:$2</definedName>
    <definedName name="_xlnm.Print_Titles" localSheetId="16">'403740'!$2:$2</definedName>
    <definedName name="_xlnm.Print_Titles" localSheetId="9">'403868'!$2:$2</definedName>
    <definedName name="_xlnm.Print_Titles" localSheetId="10">'403879'!$2:$2</definedName>
    <definedName name="_xlnm.Print_Titles" localSheetId="11">'403885'!$2:$2</definedName>
    <definedName name="_xlnm.Print_Titles" localSheetId="12">'403900'!$2:$2</definedName>
    <definedName name="_xlnm.Print_Titles" localSheetId="13">'406076'!$2:$2</definedName>
  </definedNames>
  <calcPr calcId="162913"/>
</workbook>
</file>

<file path=xl/calcChain.xml><?xml version="1.0" encoding="utf-8"?>
<calcChain xmlns="http://schemas.openxmlformats.org/spreadsheetml/2006/main">
  <c r="O13" i="71" l="1"/>
  <c r="N13" i="71"/>
  <c r="O5" i="65"/>
  <c r="N5" i="65"/>
  <c r="O4" i="64"/>
  <c r="N4" i="64"/>
  <c r="O5" i="63"/>
  <c r="N5" i="63"/>
  <c r="O8" i="62"/>
  <c r="N8" i="62"/>
  <c r="O10" i="61"/>
  <c r="N10" i="61"/>
  <c r="O25" i="60"/>
  <c r="N25" i="60"/>
  <c r="O11" i="59"/>
  <c r="N11" i="59"/>
  <c r="O6" i="58"/>
  <c r="N6" i="58"/>
  <c r="O8" i="57"/>
  <c r="N8" i="57"/>
  <c r="O10" i="26"/>
  <c r="N10" i="26"/>
  <c r="P6" i="69" l="1"/>
  <c r="P5" i="68"/>
  <c r="P5" i="67"/>
  <c r="P5" i="64"/>
  <c r="P6" i="63"/>
  <c r="P9" i="62"/>
  <c r="P11" i="61"/>
  <c r="P26" i="60"/>
  <c r="P12" i="59"/>
  <c r="P7" i="58"/>
  <c r="P11" i="26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33" i="2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G33" i="2"/>
  <c r="M13" i="71"/>
  <c r="P12" i="71"/>
  <c r="P14" i="71" s="1"/>
  <c r="P11" i="71"/>
  <c r="P10" i="71"/>
  <c r="P9" i="71"/>
  <c r="P8" i="71"/>
  <c r="P7" i="71"/>
  <c r="P6" i="71"/>
  <c r="P5" i="71"/>
  <c r="P4" i="71"/>
  <c r="P3" i="71"/>
  <c r="N11" i="70"/>
  <c r="M11" i="70"/>
  <c r="P10" i="70"/>
  <c r="P9" i="70"/>
  <c r="P8" i="70"/>
  <c r="P7" i="70"/>
  <c r="P6" i="70"/>
  <c r="P5" i="70"/>
  <c r="P4" i="70"/>
  <c r="P3" i="70"/>
  <c r="N5" i="69"/>
  <c r="M5" i="69"/>
  <c r="P4" i="69"/>
  <c r="P3" i="69"/>
  <c r="N4" i="68"/>
  <c r="M4" i="68"/>
  <c r="P3" i="68"/>
  <c r="O4" i="68" s="1"/>
  <c r="P6" i="68" s="1"/>
  <c r="N4" i="67"/>
  <c r="M4" i="67"/>
  <c r="P3" i="67"/>
  <c r="O4" i="67" s="1"/>
  <c r="P6" i="67" s="1"/>
  <c r="N4" i="66"/>
  <c r="M4" i="66"/>
  <c r="P3" i="66"/>
  <c r="O4" i="66" s="1"/>
  <c r="M5" i="65"/>
  <c r="P4" i="65"/>
  <c r="P3" i="65"/>
  <c r="M4" i="64"/>
  <c r="P3" i="64"/>
  <c r="P6" i="64" s="1"/>
  <c r="M5" i="63"/>
  <c r="P4" i="63"/>
  <c r="P3" i="63"/>
  <c r="G24" i="2"/>
  <c r="M8" i="62"/>
  <c r="P7" i="62"/>
  <c r="P6" i="62"/>
  <c r="P5" i="62"/>
  <c r="P4" i="62"/>
  <c r="P3" i="62"/>
  <c r="G23" i="2"/>
  <c r="M10" i="61"/>
  <c r="P9" i="61"/>
  <c r="P8" i="61"/>
  <c r="P7" i="61"/>
  <c r="P6" i="61"/>
  <c r="P5" i="61"/>
  <c r="P4" i="61"/>
  <c r="P3" i="61"/>
  <c r="G22" i="2"/>
  <c r="M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M11" i="59"/>
  <c r="P10" i="59"/>
  <c r="P9" i="59"/>
  <c r="P8" i="59"/>
  <c r="P7" i="59"/>
  <c r="P6" i="59"/>
  <c r="P5" i="59"/>
  <c r="P4" i="59"/>
  <c r="P3" i="59"/>
  <c r="M6" i="58"/>
  <c r="P5" i="58"/>
  <c r="P4" i="58"/>
  <c r="P3" i="58"/>
  <c r="G19" i="2"/>
  <c r="M8" i="57"/>
  <c r="P7" i="57"/>
  <c r="P6" i="57"/>
  <c r="P5" i="57"/>
  <c r="P4" i="57"/>
  <c r="P3" i="57"/>
  <c r="P9" i="26"/>
  <c r="P8" i="26"/>
  <c r="O11" i="70" l="1"/>
  <c r="P12" i="70" s="1"/>
  <c r="P5" i="66"/>
  <c r="P6" i="66" s="1"/>
  <c r="P8" i="66" s="1"/>
  <c r="P7" i="63"/>
  <c r="P8" i="63" s="1"/>
  <c r="P15" i="71"/>
  <c r="P16" i="71" s="1"/>
  <c r="P13" i="70"/>
  <c r="P15" i="70" s="1"/>
  <c r="O5" i="69"/>
  <c r="P7" i="69" s="1"/>
  <c r="P9" i="69" s="1"/>
  <c r="P10" i="62"/>
  <c r="P12" i="62" s="1"/>
  <c r="P12" i="61"/>
  <c r="P13" i="61" s="1"/>
  <c r="P27" i="60"/>
  <c r="P29" i="60" s="1"/>
  <c r="P13" i="59"/>
  <c r="P15" i="59" s="1"/>
  <c r="P8" i="58"/>
  <c r="P10" i="58" s="1"/>
  <c r="P8" i="68"/>
  <c r="P7" i="68"/>
  <c r="P8" i="67"/>
  <c r="P7" i="67"/>
  <c r="P9" i="67" s="1"/>
  <c r="P8" i="64"/>
  <c r="P7" i="64"/>
  <c r="P9" i="63"/>
  <c r="P6" i="65" l="1"/>
  <c r="P7" i="65" s="1"/>
  <c r="P7" i="66"/>
  <c r="P9" i="57"/>
  <c r="P10" i="57" s="1"/>
  <c r="P9" i="58"/>
  <c r="P11" i="58" s="1"/>
  <c r="P9" i="64"/>
  <c r="P17" i="71"/>
  <c r="P18" i="71"/>
  <c r="P14" i="70"/>
  <c r="P16" i="70" s="1"/>
  <c r="P8" i="69"/>
  <c r="P10" i="69" s="1"/>
  <c r="P9" i="68"/>
  <c r="P9" i="66"/>
  <c r="P10" i="63"/>
  <c r="P11" i="62"/>
  <c r="P13" i="62" s="1"/>
  <c r="P14" i="61"/>
  <c r="P15" i="61" s="1"/>
  <c r="P28" i="60"/>
  <c r="P30" i="60" s="1"/>
  <c r="P14" i="59"/>
  <c r="P16" i="59" s="1"/>
  <c r="I39" i="2"/>
  <c r="I38" i="2"/>
  <c r="I40" i="2" s="1"/>
  <c r="P4" i="26"/>
  <c r="P5" i="26"/>
  <c r="P6" i="26"/>
  <c r="P7" i="26"/>
  <c r="P9" i="65" l="1"/>
  <c r="P8" i="65"/>
  <c r="P10" i="65" s="1"/>
  <c r="P11" i="57"/>
  <c r="P12" i="57"/>
  <c r="P13" i="57" l="1"/>
  <c r="J29" i="2"/>
  <c r="J33" i="2"/>
  <c r="J32" i="2"/>
  <c r="J31" i="2"/>
  <c r="J30" i="2"/>
  <c r="G18" i="2"/>
  <c r="M10" i="26"/>
  <c r="P3" i="26"/>
  <c r="P12" i="26" l="1"/>
  <c r="J28" i="2"/>
  <c r="J27" i="2"/>
  <c r="J26" i="2"/>
  <c r="J25" i="2"/>
  <c r="P13" i="26" l="1"/>
  <c r="P14" i="26"/>
  <c r="J24" i="2"/>
  <c r="P15" i="26" l="1"/>
  <c r="L34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J23" i="2"/>
  <c r="J21" i="2"/>
  <c r="J22" i="2"/>
  <c r="J20" i="2"/>
  <c r="J19" i="2"/>
  <c r="I51" i="2" l="1"/>
  <c r="J18" i="2"/>
  <c r="J34" i="2" s="1"/>
  <c r="J36" i="2" s="1"/>
  <c r="J37" i="2" l="1"/>
  <c r="J39" i="2" l="1"/>
  <c r="J38" i="2"/>
  <c r="J40" i="2" l="1"/>
</calcChain>
</file>

<file path=xl/sharedStrings.xml><?xml version="1.0" encoding="utf-8"?>
<sst xmlns="http://schemas.openxmlformats.org/spreadsheetml/2006/main" count="817" uniqueCount="174">
  <si>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</si>
  <si>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</si>
  <si>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</si>
  <si>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</si>
  <si>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</si>
  <si>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</si>
  <si>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</si>
  <si>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</si>
  <si>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</si>
  <si>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</si>
  <si>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</si>
  <si>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</si>
  <si>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</si>
  <si>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</si>
  <si>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</si>
  <si>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</si>
  <si>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</si>
  <si>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</si>
  <si>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</si>
  <si>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</si>
  <si>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</si>
  <si>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</si>
  <si>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</si>
  <si>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</si>
  <si>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</si>
  <si>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</si>
  <si>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</si>
  <si>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</si>
  <si>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</si>
  <si>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</si>
  <si>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</si>
  <si>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</si>
  <si>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</si>
  <si>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</si>
  <si>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</si>
  <si>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</si>
  <si>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</si>
  <si>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</si>
  <si>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</si>
  <si>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</si>
  <si>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</si>
  <si>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</si>
  <si>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</si>
  <si>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</si>
  <si>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</si>
  <si>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</si>
  <si>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</si>
  <si>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</si>
  <si>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</si>
  <si>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</si>
  <si>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</si>
  <si>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</si>
  <si>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</si>
  <si>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</si>
  <si>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</si>
  <si>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</si>
  <si>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DMD/2111/01/SVJN9032</t>
  </si>
  <si>
    <t>GSK211030FNU796</t>
  </si>
  <si>
    <t>GSK211101FVO276</t>
  </si>
  <si>
    <t>GSK211101OPT529</t>
  </si>
  <si>
    <t>GSK211101GOV871</t>
  </si>
  <si>
    <t>GSK211101VHO789</t>
  </si>
  <si>
    <t>GSK211101MGK854</t>
  </si>
  <si>
    <t>GSK211101CJI348</t>
  </si>
  <si>
    <t>KM SAWITA</t>
  </si>
  <si>
    <t>11/8/2021 AMARTIO</t>
  </si>
  <si>
    <t>DMD/2111/02/QHWE3785</t>
  </si>
  <si>
    <t>GSK211102VRL740</t>
  </si>
  <si>
    <t>GSK211102GWZ780</t>
  </si>
  <si>
    <t>GSK211102WIN049</t>
  </si>
  <si>
    <t>GSK211102CSF834</t>
  </si>
  <si>
    <t>GSK211102VKO780</t>
  </si>
  <si>
    <t>DMD/2111/03/YDWU2849</t>
  </si>
  <si>
    <t>GSK211103GZU201</t>
  </si>
  <si>
    <t>GSK211103XWS946</t>
  </si>
  <si>
    <t>GSK211103RHB056</t>
  </si>
  <si>
    <t>DMD/2111/04/JTZP3509</t>
  </si>
  <si>
    <t>GSK211104UQH540</t>
  </si>
  <si>
    <t>GSK211104TBA518</t>
  </si>
  <si>
    <t>GSK211104XWK925</t>
  </si>
  <si>
    <t>GSK211104OZC861</t>
  </si>
  <si>
    <t>GSK211104WFX481</t>
  </si>
  <si>
    <t>GSK211104UVO023</t>
  </si>
  <si>
    <t>GSK211104JKU451</t>
  </si>
  <si>
    <t>GSK211104SGB210</t>
  </si>
  <si>
    <t>DMD/2111/05/GNSF1648</t>
  </si>
  <si>
    <t>GSK211105WJF568</t>
  </si>
  <si>
    <t>GSK211105LUZ971</t>
  </si>
  <si>
    <t>GSK211105VAR690</t>
  </si>
  <si>
    <t>GSK211105ZRA096</t>
  </si>
  <si>
    <t>GSK211105KLI310</t>
  </si>
  <si>
    <t>GSK211105VLO061</t>
  </si>
  <si>
    <t>GSK211105NDB509</t>
  </si>
  <si>
    <t>GSK211105HSP653</t>
  </si>
  <si>
    <t>GSK211105XUM851</t>
  </si>
  <si>
    <t>GSK211105GPW786</t>
  </si>
  <si>
    <t>GSK211105POQ390</t>
  </si>
  <si>
    <t>GSK211105AND608</t>
  </si>
  <si>
    <t>GSK211105EKN650</t>
  </si>
  <si>
    <t>GSK211105QUJ268</t>
  </si>
  <si>
    <t>GSK211105QLR052</t>
  </si>
  <si>
    <t>GSK211105ZBN485</t>
  </si>
  <si>
    <t>GSK211105ADM640</t>
  </si>
  <si>
    <t>GSK211105FTG957</t>
  </si>
  <si>
    <t>GSK211105WGA102</t>
  </si>
  <si>
    <t>GSK211105VXL715</t>
  </si>
  <si>
    <t>GSK211105QXZ467</t>
  </si>
  <si>
    <t>GSK211105YXQ856</t>
  </si>
  <si>
    <t>DMD/2111/06/MDPQ6429</t>
  </si>
  <si>
    <t>GSK211106BOS270</t>
  </si>
  <si>
    <t>GSK211106IJK831</t>
  </si>
  <si>
    <t>GSK211106PXO497</t>
  </si>
  <si>
    <t>GSK211106UBD965</t>
  </si>
  <si>
    <t>GSK211106LOB479</t>
  </si>
  <si>
    <t>GSK211106WMX465</t>
  </si>
  <si>
    <t>GSK211106LTZ572</t>
  </si>
  <si>
    <t>KM  SAWITA</t>
  </si>
  <si>
    <t>11/11/2021 AGUSTINUS</t>
  </si>
  <si>
    <t>DMD/2111/07/VFJD8564</t>
  </si>
  <si>
    <t>GSK211107PQT084</t>
  </si>
  <si>
    <t>GSK211107PRB819</t>
  </si>
  <si>
    <t>GSK211107MZJ846</t>
  </si>
  <si>
    <t>GSK211107YVO129</t>
  </si>
  <si>
    <t>GSK211107CDL835</t>
  </si>
  <si>
    <t>DMD/2111/08/VSAX4816</t>
  </si>
  <si>
    <t>GSK211107QIG918</t>
  </si>
  <si>
    <t>GSK211107GHC912</t>
  </si>
  <si>
    <t>DMD/2111/13/BYSE4752</t>
  </si>
  <si>
    <t>GSK211113WLI027</t>
  </si>
  <si>
    <t>11/24/2021 AGUSTINUS</t>
  </si>
  <si>
    <t>DMD/2111/17/RBIG0851</t>
  </si>
  <si>
    <t>GSK211117UPS290</t>
  </si>
  <si>
    <t>GSK211112AGW379</t>
  </si>
  <si>
    <t>DMD/2111/18/TMUJ9756</t>
  </si>
  <si>
    <t>GSK211118OCG453</t>
  </si>
  <si>
    <t>DMD/2111/21/EGLC1074</t>
  </si>
  <si>
    <t>GSK211120DVM127</t>
  </si>
  <si>
    <t>DMD/2111/22/DUIM8210</t>
  </si>
  <si>
    <t>GSK211122VWA458</t>
  </si>
  <si>
    <t>DMD/2111/26/VFOD6281</t>
  </si>
  <si>
    <t>GSK211126YGZ914</t>
  </si>
  <si>
    <t>GSK211126UBF367</t>
  </si>
  <si>
    <t>DMP TJQ (TJ. PANDAN)</t>
  </si>
  <si>
    <t>KM TONGKANG</t>
  </si>
  <si>
    <t>12/15/2021 AGUSTINUS</t>
  </si>
  <si>
    <t>DMD/2111/28/YHLG6304</t>
  </si>
  <si>
    <t>GSK211128XVZ271</t>
  </si>
  <si>
    <t>GSK211128NEP174</t>
  </si>
  <si>
    <t>GSK211128SAW261</t>
  </si>
  <si>
    <t>GSK211128YUZ624</t>
  </si>
  <si>
    <t>GSK211128FHS542</t>
  </si>
  <si>
    <t>GSK211128AFY389</t>
  </si>
  <si>
    <t>GSK211125UWC730</t>
  </si>
  <si>
    <t>GSK211128GOD236</t>
  </si>
  <si>
    <t>DMD/2111/30/GJSZ8691</t>
  </si>
  <si>
    <t>GSK211130XNG986</t>
  </si>
  <si>
    <t>DMD/2111/30/KIAS8173</t>
  </si>
  <si>
    <t>GSK211130ZPK429</t>
  </si>
  <si>
    <t>GSK211130ATZ932</t>
  </si>
  <si>
    <t>GSK211130UIT147</t>
  </si>
  <si>
    <t>GSK211130RZV207</t>
  </si>
  <si>
    <t>GSK211130WIX530</t>
  </si>
  <si>
    <t>GSK211130IPT910</t>
  </si>
  <si>
    <t>GSK211130SYA597</t>
  </si>
  <si>
    <t>GSK211130GRO081</t>
  </si>
  <si>
    <t>GSK211130BAG913</t>
  </si>
  <si>
    <t xml:space="preserve"> 055/PCI/PI/XII/21</t>
  </si>
  <si>
    <t xml:space="preserve"> 29 Desember 21</t>
  </si>
  <si>
    <t>TJ. PANDAN</t>
  </si>
  <si>
    <t xml:space="preserve"> NOVEMBER 2021</t>
  </si>
  <si>
    <t>DMP TJQ (TJ.  PANDAN)</t>
  </si>
  <si>
    <t>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</si>
  <si>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Tujuh Ratus Sembilan Puluh Delapan Ribu Sembilan Ratus Sembilan Puluh Tiga Rupiah.</t>
    </r>
  </si>
  <si>
    <t>DMP TJQ    (TJ. PANDAN)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</si>
</sst>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7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" displayName="Table224578910112" ref="C2:N9" totalsRowShown="0" headerRowDxfId="273" dataDxfId="271" headerRowBorderDxfId="272">
  <tableColumns count="12">
    <tableColumn id="1" name="NOMOR" dataDxfId="270" dataCellStyle="Normal"/>
    <tableColumn id="3" name="TUJUAN" dataDxfId="269" dataCellStyle="Normal"/>
    <tableColumn id="16" name="Pick Up" dataDxfId="268"/>
    <tableColumn id="14" name="KAPAL" dataDxfId="267"/>
    <tableColumn id="15" name="ETD Kapal" dataDxfId="266"/>
    <tableColumn id="10" name="KETERANGAN" dataDxfId="265" dataCellStyle="Normal"/>
    <tableColumn id="5" name="P" dataDxfId="264" dataCellStyle="Normal"/>
    <tableColumn id="6" name="L" dataDxfId="263" dataCellStyle="Normal"/>
    <tableColumn id="7" name="T" dataDxfId="262" dataCellStyle="Normal"/>
    <tableColumn id="4" name="ACT KG" dataDxfId="261" dataCellStyle="Normal"/>
    <tableColumn id="8" name="KG VOLUME" dataDxfId="260" dataCellStyle="Normal"/>
    <tableColumn id="19" name="PEMBULATAN" dataDxfId="25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4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3" totalsRowShown="0" headerRowDxfId="99" dataDxfId="97" headerRowBorderDxfId="98">
  <tableColumns count="12">
    <tableColumn id="1" name="NOMOR" dataDxfId="96" dataCellStyle="Normal"/>
    <tableColumn id="3" name="TUJUAN" dataDxfId="95" dataCellStyle="Normal"/>
    <tableColumn id="16" name="Pick Up" dataDxfId="94"/>
    <tableColumn id="14" name="KAPAL" dataDxfId="93"/>
    <tableColumn id="15" name="ETD Kapal" dataDxfId="92"/>
    <tableColumn id="10" name="KETERANGAN" dataDxfId="91" dataCellStyle="Normal"/>
    <tableColumn id="5" name="P" dataDxfId="90" dataCellStyle="Normal"/>
    <tableColumn id="6" name="L" dataDxfId="89" dataCellStyle="Normal"/>
    <tableColumn id="7" name="T" dataDxfId="88" dataCellStyle="Normal"/>
    <tableColumn id="4" name="ACT KG" dataDxfId="87" dataCellStyle="Normal"/>
    <tableColumn id="8" name="KG VOLUME" dataDxfId="86" dataCellStyle="Normal"/>
    <tableColumn id="19" name="PEMBULATAN" dataDxfId="85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3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3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4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10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1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7" totalsRowShown="0" headerRowDxfId="255" dataDxfId="253" headerRowBorderDxfId="254">
  <tableColumns count="12">
    <tableColumn id="1" name="NOMOR" dataDxfId="252" dataCellStyle="Normal"/>
    <tableColumn id="3" name="TUJUAN" dataDxfId="251" dataCellStyle="Normal"/>
    <tableColumn id="16" name="Pick Up" dataDxfId="250"/>
    <tableColumn id="14" name="KAPAL" dataDxfId="249"/>
    <tableColumn id="15" name="ETD Kapal" dataDxfId="248"/>
    <tableColumn id="10" name="KETERANGAN" dataDxfId="247" dataCellStyle="Normal"/>
    <tableColumn id="5" name="P" dataDxfId="246" dataCellStyle="Normal"/>
    <tableColumn id="6" name="L" dataDxfId="245" dataCellStyle="Normal"/>
    <tableColumn id="7" name="T" dataDxfId="244" dataCellStyle="Normal"/>
    <tableColumn id="4" name="ACT KG" dataDxfId="243" dataCellStyle="Normal"/>
    <tableColumn id="8" name="KG VOLUME" dataDxfId="242" dataCellStyle="Normal"/>
    <tableColumn id="19" name="PEMBULATAN" dataDxfId="24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5" totalsRowShown="0" headerRowDxfId="237" dataDxfId="235" headerRowBorderDxfId="236">
  <tableColumns count="12">
    <tableColumn id="1" name="NOMOR" dataDxfId="234" dataCellStyle="Normal"/>
    <tableColumn id="3" name="TUJUAN" dataDxfId="233" dataCellStyle="Normal"/>
    <tableColumn id="16" name="Pick Up" dataDxfId="232"/>
    <tableColumn id="14" name="KAPAL" dataDxfId="231"/>
    <tableColumn id="15" name="ETD Kapal" dataDxfId="230"/>
    <tableColumn id="10" name="KETERANGAN" dataDxfId="229" dataCellStyle="Normal"/>
    <tableColumn id="5" name="P" dataDxfId="228" dataCellStyle="Normal"/>
    <tableColumn id="6" name="L" dataDxfId="227" dataCellStyle="Normal"/>
    <tableColumn id="7" name="T" dataDxfId="226" dataCellStyle="Normal"/>
    <tableColumn id="4" name="ACT KG" dataDxfId="225" dataCellStyle="Normal"/>
    <tableColumn id="8" name="KG VOLUME" dataDxfId="224" dataCellStyle="Normal"/>
    <tableColumn id="19" name="PEMBULATAN" dataDxfId="22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10" totalsRowShown="0" headerRowDxfId="219" dataDxfId="217" headerRowBorderDxfId="218">
  <tableColumns count="12">
    <tableColumn id="1" name="NOMOR" dataDxfId="216" dataCellStyle="Normal"/>
    <tableColumn id="3" name="TUJUAN" dataDxfId="215" dataCellStyle="Normal"/>
    <tableColumn id="16" name="Pick Up" dataDxfId="214"/>
    <tableColumn id="14" name="KAPAL" dataDxfId="213"/>
    <tableColumn id="15" name="ETD Kapal" dataDxfId="212"/>
    <tableColumn id="10" name="KETERANGAN" dataDxfId="211" dataCellStyle="Normal"/>
    <tableColumn id="5" name="P" dataDxfId="210" dataCellStyle="Normal"/>
    <tableColumn id="6" name="L" dataDxfId="209" dataCellStyle="Normal"/>
    <tableColumn id="7" name="T" dataDxfId="208" dataCellStyle="Normal"/>
    <tableColumn id="4" name="ACT KG" dataDxfId="207" dataCellStyle="Normal"/>
    <tableColumn id="8" name="KG VOLUME" dataDxfId="206" dataCellStyle="Normal"/>
    <tableColumn id="19" name="PEMBULATAN" dataDxfId="20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24" totalsRowShown="0" headerRowDxfId="201" dataDxfId="199" headerRowBorderDxfId="200">
  <tableColumns count="12">
    <tableColumn id="1" name="NOMOR" dataDxfId="198" dataCellStyle="Normal"/>
    <tableColumn id="3" name="TUJUAN" dataDxfId="197" dataCellStyle="Normal"/>
    <tableColumn id="16" name="Pick Up" dataDxfId="196"/>
    <tableColumn id="14" name="KAPAL" dataDxfId="195"/>
    <tableColumn id="15" name="ETD Kapal" dataDxfId="194"/>
    <tableColumn id="10" name="KETERANGAN" dataDxfId="193" dataCellStyle="Normal"/>
    <tableColumn id="5" name="P" dataDxfId="192" dataCellStyle="Normal"/>
    <tableColumn id="6" name="L" dataDxfId="191" dataCellStyle="Normal"/>
    <tableColumn id="7" name="T" dataDxfId="190" dataCellStyle="Normal"/>
    <tableColumn id="4" name="ACT KG" dataDxfId="189" dataCellStyle="Normal"/>
    <tableColumn id="8" name="KG VOLUME" dataDxfId="188" dataCellStyle="Normal"/>
    <tableColumn id="19" name="PEMBULATAN" dataDxfId="18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9" totalsRowShown="0" headerRowDxfId="183" dataDxfId="181" headerRowBorderDxfId="182">
  <tableColumns count="12">
    <tableColumn id="1" name="NOMOR" dataDxfId="180" dataCellStyle="Normal"/>
    <tableColumn id="3" name="TUJUAN" dataDxfId="179" dataCellStyle="Normal"/>
    <tableColumn id="16" name="Pick Up" dataDxfId="178"/>
    <tableColumn id="14" name="KAPAL" dataDxfId="177"/>
    <tableColumn id="15" name="ETD Kapal" dataDxfId="176"/>
    <tableColumn id="10" name="KETERANGAN" dataDxfId="175" dataCellStyle="Normal"/>
    <tableColumn id="5" name="P" dataDxfId="174" dataCellStyle="Normal"/>
    <tableColumn id="6" name="L" dataDxfId="173" dataCellStyle="Normal"/>
    <tableColumn id="7" name="T" dataDxfId="172" dataCellStyle="Normal"/>
    <tableColumn id="4" name="ACT KG" dataDxfId="171" dataCellStyle="Normal"/>
    <tableColumn id="8" name="KG VOLUME" dataDxfId="170" dataCellStyle="Normal"/>
    <tableColumn id="19" name="PEMBULATAN" dataDxfId="16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7" totalsRowShown="0" headerRowDxfId="165" dataDxfId="163" headerRowBorderDxfId="164">
  <tableColumns count="12">
    <tableColumn id="1" name="NOMOR" dataDxfId="162" dataCellStyle="Normal"/>
    <tableColumn id="3" name="TUJUAN" dataDxfId="161" dataCellStyle="Normal"/>
    <tableColumn id="16" name="Pick Up" dataDxfId="160"/>
    <tableColumn id="14" name="KAPAL" dataDxfId="159"/>
    <tableColumn id="15" name="ETD Kapal" dataDxfId="158"/>
    <tableColumn id="10" name="KETERANGAN" dataDxfId="157" dataCellStyle="Normal"/>
    <tableColumn id="5" name="P" dataDxfId="156" dataCellStyle="Normal"/>
    <tableColumn id="6" name="L" dataDxfId="155" dataCellStyle="Normal"/>
    <tableColumn id="7" name="T" dataDxfId="154" dataCellStyle="Normal"/>
    <tableColumn id="4" name="ACT KG" dataDxfId="153" dataCellStyle="Normal"/>
    <tableColumn id="8" name="KG VOLUME" dataDxfId="152" dataCellStyle="Normal"/>
    <tableColumn id="19" name="PEMBULATAN" dataDxfId="15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4" totalsRowShown="0" headerRowDxfId="148" dataDxfId="146" headerRowBorderDxfId="147">
  <tableColumns count="12">
    <tableColumn id="1" name="NOMOR" dataDxfId="145" dataCellStyle="Normal"/>
    <tableColumn id="3" name="TUJUAN" dataDxfId="144" dataCellStyle="Normal"/>
    <tableColumn id="16" name="Pick Up" dataDxfId="143"/>
    <tableColumn id="14" name="KAPAL" dataDxfId="142"/>
    <tableColumn id="15" name="ETD Kapal" dataDxfId="141"/>
    <tableColumn id="10" name="KETERANGAN" dataDxfId="140" dataCellStyle="Normal"/>
    <tableColumn id="5" name="P" dataDxfId="139" dataCellStyle="Normal"/>
    <tableColumn id="6" name="L" dataDxfId="138" dataCellStyle="Normal"/>
    <tableColumn id="7" name="T" dataDxfId="137" dataCellStyle="Normal"/>
    <tableColumn id="4" name="ACT KG" dataDxfId="136" dataCellStyle="Normal"/>
    <tableColumn id="8" name="KG VOLUME" dataDxfId="135" dataCellStyle="Normal"/>
    <tableColumn id="19" name="PEMBULATAN" dataDxfId="13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3" totalsRowShown="0" headerRowDxfId="132" dataDxfId="130" headerRowBorderDxfId="131">
  <tableColumns count="12">
    <tableColumn id="1" name="NOMOR" dataDxfId="129" dataCellStyle="Normal"/>
    <tableColumn id="3" name="TUJUAN" dataDxfId="128" dataCellStyle="Normal"/>
    <tableColumn id="16" name="Pick Up" dataDxfId="127"/>
    <tableColumn id="14" name="KAPAL" dataDxfId="126"/>
    <tableColumn id="15" name="ETD Kapal" dataDxfId="125"/>
    <tableColumn id="10" name="KETERANGAN" dataDxfId="124" dataCellStyle="Normal"/>
    <tableColumn id="5" name="P" dataDxfId="123" dataCellStyle="Normal"/>
    <tableColumn id="6" name="L" dataDxfId="122" dataCellStyle="Normal"/>
    <tableColumn id="7" name="T" dataDxfId="121" dataCellStyle="Normal"/>
    <tableColumn id="4" name="ACT KG" dataDxfId="120" dataCellStyle="Normal"/>
    <tableColumn id="8" name="KG VOLUME" dataDxfId="119" dataCellStyle="Normal"/>
    <tableColumn id="19" name="PEMBULATAN" dataDxfId="11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8"/>
  <sheetViews>
    <sheetView tabSelected="1" topLeftCell="A32" workbookViewId="0">
      <selection activeCell="H40" sqref="H40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5" t="s">
        <v>14</v>
      </c>
      <c r="B10" s="106"/>
      <c r="C10" s="106"/>
      <c r="D10" s="106"/>
      <c r="E10" s="106"/>
      <c r="F10" s="106"/>
      <c r="G10" s="106"/>
      <c r="H10" s="106"/>
      <c r="I10" s="106"/>
      <c r="J10" s="107"/>
    </row>
    <row r="12" spans="1:10" x14ac:dyDescent="0.25">
      <c r="A12" s="18" t="s">
        <v>15</v>
      </c>
      <c r="B12" s="18" t="s">
        <v>16</v>
      </c>
      <c r="G12" s="100" t="s">
        <v>49</v>
      </c>
      <c r="H12" s="100"/>
      <c r="I12" s="23" t="s">
        <v>17</v>
      </c>
      <c r="J12" s="24" t="s">
        <v>166</v>
      </c>
    </row>
    <row r="13" spans="1:10" x14ac:dyDescent="0.25">
      <c r="G13" s="100" t="s">
        <v>18</v>
      </c>
      <c r="H13" s="100"/>
      <c r="I13" s="23" t="s">
        <v>17</v>
      </c>
      <c r="J13" s="25" t="s">
        <v>167</v>
      </c>
    </row>
    <row r="14" spans="1:10" x14ac:dyDescent="0.25">
      <c r="G14" s="100" t="s">
        <v>50</v>
      </c>
      <c r="H14" s="100"/>
      <c r="I14" s="23" t="s">
        <v>17</v>
      </c>
      <c r="J14" s="18" t="s">
        <v>168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169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8" t="s">
        <v>28</v>
      </c>
      <c r="I17" s="109"/>
      <c r="J17" s="29" t="s">
        <v>29</v>
      </c>
    </row>
    <row r="18" spans="1:12" ht="48" customHeight="1" x14ac:dyDescent="0.25">
      <c r="A18" s="30">
        <v>1</v>
      </c>
      <c r="B18" s="31">
        <f>'402445'!E3</f>
        <v>44501</v>
      </c>
      <c r="C18" s="84">
        <f>'402445'!A3</f>
        <v>402445</v>
      </c>
      <c r="D18" s="32" t="s">
        <v>142</v>
      </c>
      <c r="E18" s="32" t="s">
        <v>171</v>
      </c>
      <c r="F18" s="33">
        <v>7</v>
      </c>
      <c r="G18" s="97">
        <f>'402445'!N10</f>
        <v>128.37299999999999</v>
      </c>
      <c r="H18" s="101">
        <v>3000</v>
      </c>
      <c r="I18" s="102"/>
      <c r="J18" s="34">
        <f>G18*H18</f>
        <v>385119</v>
      </c>
      <c r="L18"/>
    </row>
    <row r="19" spans="1:12" ht="48" customHeight="1" x14ac:dyDescent="0.25">
      <c r="A19" s="30">
        <f>A18+1</f>
        <v>2</v>
      </c>
      <c r="B19" s="31">
        <f>'402318'!E3</f>
        <v>44502</v>
      </c>
      <c r="C19" s="84">
        <f>'402318'!A3</f>
        <v>402318</v>
      </c>
      <c r="D19" s="32" t="s">
        <v>142</v>
      </c>
      <c r="E19" s="32" t="s">
        <v>171</v>
      </c>
      <c r="F19" s="33">
        <v>5</v>
      </c>
      <c r="G19" s="98">
        <f>'402318'!N8</f>
        <v>327.61749999999995</v>
      </c>
      <c r="H19" s="101">
        <v>3000</v>
      </c>
      <c r="I19" s="102"/>
      <c r="J19" s="34">
        <f t="shared" ref="J19:J28" si="0">G19*H19</f>
        <v>982852.49999999988</v>
      </c>
      <c r="L19"/>
    </row>
    <row r="20" spans="1:12" ht="48" customHeight="1" x14ac:dyDescent="0.25">
      <c r="A20" s="30">
        <f t="shared" ref="A20:A33" si="1">A19+1</f>
        <v>3</v>
      </c>
      <c r="B20" s="31">
        <f>'402322'!E3</f>
        <v>44503</v>
      </c>
      <c r="C20" s="84">
        <f>'402322'!A3</f>
        <v>402322</v>
      </c>
      <c r="D20" s="32" t="s">
        <v>142</v>
      </c>
      <c r="E20" s="32" t="s">
        <v>171</v>
      </c>
      <c r="F20" s="33">
        <v>3</v>
      </c>
      <c r="G20" s="98">
        <v>100</v>
      </c>
      <c r="H20" s="101">
        <v>3000</v>
      </c>
      <c r="I20" s="102"/>
      <c r="J20" s="34">
        <f t="shared" si="0"/>
        <v>300000</v>
      </c>
      <c r="L20"/>
    </row>
    <row r="21" spans="1:12" ht="48" customHeight="1" x14ac:dyDescent="0.25">
      <c r="A21" s="30">
        <f t="shared" si="1"/>
        <v>4</v>
      </c>
      <c r="B21" s="31">
        <f>'402329'!E3</f>
        <v>44504</v>
      </c>
      <c r="C21" s="84">
        <f>'402329'!A3</f>
        <v>402329</v>
      </c>
      <c r="D21" s="32" t="s">
        <v>142</v>
      </c>
      <c r="E21" s="32" t="s">
        <v>171</v>
      </c>
      <c r="F21" s="33">
        <v>8</v>
      </c>
      <c r="G21" s="98">
        <v>100</v>
      </c>
      <c r="H21" s="101">
        <v>3000</v>
      </c>
      <c r="I21" s="102"/>
      <c r="J21" s="34">
        <f>G21*H21</f>
        <v>300000</v>
      </c>
      <c r="L21"/>
    </row>
    <row r="22" spans="1:12" ht="48" customHeight="1" x14ac:dyDescent="0.25">
      <c r="A22" s="30">
        <f t="shared" si="1"/>
        <v>5</v>
      </c>
      <c r="B22" s="31">
        <f>'402333'!E3</f>
        <v>44505</v>
      </c>
      <c r="C22" s="84">
        <f>'402333'!A3</f>
        <v>402333</v>
      </c>
      <c r="D22" s="32" t="s">
        <v>142</v>
      </c>
      <c r="E22" s="32" t="s">
        <v>171</v>
      </c>
      <c r="F22" s="33">
        <v>22</v>
      </c>
      <c r="G22" s="98">
        <f>'402333'!N25</f>
        <v>402.2</v>
      </c>
      <c r="H22" s="101">
        <v>3000</v>
      </c>
      <c r="I22" s="102"/>
      <c r="J22" s="34">
        <f>G22*H22</f>
        <v>1206600</v>
      </c>
      <c r="L22"/>
    </row>
    <row r="23" spans="1:12" ht="48" customHeight="1" x14ac:dyDescent="0.25">
      <c r="A23" s="30">
        <f t="shared" si="1"/>
        <v>6</v>
      </c>
      <c r="B23" s="31">
        <f>'402337'!E3</f>
        <v>44506</v>
      </c>
      <c r="C23" s="84">
        <f>'402337'!A3</f>
        <v>402337</v>
      </c>
      <c r="D23" s="32" t="s">
        <v>142</v>
      </c>
      <c r="E23" s="32" t="s">
        <v>171</v>
      </c>
      <c r="F23" s="33">
        <v>7</v>
      </c>
      <c r="G23" s="98">
        <f>'402337'!N10</f>
        <v>329</v>
      </c>
      <c r="H23" s="101">
        <v>3000</v>
      </c>
      <c r="I23" s="102"/>
      <c r="J23" s="34">
        <f>G23*H23</f>
        <v>987000</v>
      </c>
      <c r="L23"/>
    </row>
    <row r="24" spans="1:12" ht="48" customHeight="1" x14ac:dyDescent="0.25">
      <c r="A24" s="30">
        <f t="shared" si="1"/>
        <v>7</v>
      </c>
      <c r="B24" s="31">
        <f>'402341'!E3</f>
        <v>44507</v>
      </c>
      <c r="C24" s="84">
        <f>'402341'!A3</f>
        <v>402341</v>
      </c>
      <c r="D24" s="32" t="s">
        <v>142</v>
      </c>
      <c r="E24" s="32" t="s">
        <v>171</v>
      </c>
      <c r="F24" s="33">
        <v>5</v>
      </c>
      <c r="G24" s="98">
        <f>'402341'!N8</f>
        <v>228.75</v>
      </c>
      <c r="H24" s="101">
        <v>3000</v>
      </c>
      <c r="I24" s="102"/>
      <c r="J24" s="34">
        <f t="shared" si="0"/>
        <v>686250</v>
      </c>
      <c r="L24"/>
    </row>
    <row r="25" spans="1:12" ht="48" customHeight="1" x14ac:dyDescent="0.25">
      <c r="A25" s="30">
        <f t="shared" si="1"/>
        <v>8</v>
      </c>
      <c r="B25" s="31">
        <f>'402345'!E3</f>
        <v>44508</v>
      </c>
      <c r="C25" s="84">
        <f>'402345'!A3</f>
        <v>402345</v>
      </c>
      <c r="D25" s="32" t="s">
        <v>142</v>
      </c>
      <c r="E25" s="32" t="s">
        <v>171</v>
      </c>
      <c r="F25" s="33">
        <v>2</v>
      </c>
      <c r="G25" s="98">
        <v>100</v>
      </c>
      <c r="H25" s="101">
        <v>3000</v>
      </c>
      <c r="I25" s="102"/>
      <c r="J25" s="34">
        <f t="shared" si="0"/>
        <v>300000</v>
      </c>
      <c r="L25"/>
    </row>
    <row r="26" spans="1:12" ht="48" customHeight="1" x14ac:dyDescent="0.25">
      <c r="A26" s="30">
        <f t="shared" si="1"/>
        <v>9</v>
      </c>
      <c r="B26" s="31">
        <f>'403868'!E3</f>
        <v>44513</v>
      </c>
      <c r="C26" s="84">
        <f>'402337'!A3</f>
        <v>402337</v>
      </c>
      <c r="D26" s="32" t="s">
        <v>142</v>
      </c>
      <c r="E26" s="32" t="s">
        <v>171</v>
      </c>
      <c r="F26" s="33">
        <v>1</v>
      </c>
      <c r="G26" s="98">
        <v>100</v>
      </c>
      <c r="H26" s="101">
        <v>3000</v>
      </c>
      <c r="I26" s="102"/>
      <c r="J26" s="34">
        <f t="shared" si="0"/>
        <v>300000</v>
      </c>
      <c r="L26"/>
    </row>
    <row r="27" spans="1:12" ht="48" customHeight="1" x14ac:dyDescent="0.25">
      <c r="A27" s="30">
        <f t="shared" si="1"/>
        <v>10</v>
      </c>
      <c r="B27" s="31">
        <f>'403879'!E3</f>
        <v>44517</v>
      </c>
      <c r="C27" s="84">
        <f>'403879'!A3</f>
        <v>403879</v>
      </c>
      <c r="D27" s="32" t="s">
        <v>142</v>
      </c>
      <c r="E27" s="32" t="s">
        <v>171</v>
      </c>
      <c r="F27" s="33">
        <v>2</v>
      </c>
      <c r="G27" s="98">
        <v>100</v>
      </c>
      <c r="H27" s="101">
        <v>3000</v>
      </c>
      <c r="I27" s="102"/>
      <c r="J27" s="34">
        <f t="shared" si="0"/>
        <v>300000</v>
      </c>
      <c r="L27"/>
    </row>
    <row r="28" spans="1:12" ht="48" customHeight="1" x14ac:dyDescent="0.25">
      <c r="A28" s="30">
        <f t="shared" si="1"/>
        <v>11</v>
      </c>
      <c r="B28" s="31">
        <f>'403885'!E3</f>
        <v>44518</v>
      </c>
      <c r="C28" s="84">
        <f>'403885'!A3</f>
        <v>403885</v>
      </c>
      <c r="D28" s="32" t="s">
        <v>142</v>
      </c>
      <c r="E28" s="32" t="s">
        <v>171</v>
      </c>
      <c r="F28" s="33">
        <v>1</v>
      </c>
      <c r="G28" s="98">
        <v>100</v>
      </c>
      <c r="H28" s="101">
        <v>3000</v>
      </c>
      <c r="I28" s="102"/>
      <c r="J28" s="34">
        <f t="shared" si="0"/>
        <v>300000</v>
      </c>
      <c r="L28"/>
    </row>
    <row r="29" spans="1:12" ht="48" customHeight="1" x14ac:dyDescent="0.25">
      <c r="A29" s="30">
        <f t="shared" si="1"/>
        <v>12</v>
      </c>
      <c r="B29" s="31">
        <f>'403900'!E3</f>
        <v>44521</v>
      </c>
      <c r="C29" s="84">
        <f>'403900'!A3</f>
        <v>403900</v>
      </c>
      <c r="D29" s="32" t="s">
        <v>142</v>
      </c>
      <c r="E29" s="32" t="s">
        <v>171</v>
      </c>
      <c r="F29" s="33">
        <v>1</v>
      </c>
      <c r="G29" s="98">
        <v>100</v>
      </c>
      <c r="H29" s="101">
        <v>3000</v>
      </c>
      <c r="I29" s="102"/>
      <c r="J29" s="34">
        <f t="shared" ref="J29:J33" si="2">G29*H29</f>
        <v>300000</v>
      </c>
      <c r="L29"/>
    </row>
    <row r="30" spans="1:12" ht="48" customHeight="1" x14ac:dyDescent="0.25">
      <c r="A30" s="30">
        <f t="shared" si="1"/>
        <v>13</v>
      </c>
      <c r="B30" s="31">
        <f>'406076'!E3</f>
        <v>44522</v>
      </c>
      <c r="C30" s="84">
        <f>'406076'!A3</f>
        <v>406076</v>
      </c>
      <c r="D30" s="32" t="s">
        <v>142</v>
      </c>
      <c r="E30" s="32" t="s">
        <v>171</v>
      </c>
      <c r="F30" s="33">
        <v>1</v>
      </c>
      <c r="G30" s="98">
        <v>100</v>
      </c>
      <c r="H30" s="101">
        <v>3000</v>
      </c>
      <c r="I30" s="102"/>
      <c r="J30" s="34">
        <f t="shared" si="2"/>
        <v>300000</v>
      </c>
      <c r="L30"/>
    </row>
    <row r="31" spans="1:12" ht="48" customHeight="1" x14ac:dyDescent="0.25">
      <c r="A31" s="30">
        <f t="shared" si="1"/>
        <v>14</v>
      </c>
      <c r="B31" s="31">
        <f>'403715'!E3</f>
        <v>44526</v>
      </c>
      <c r="C31" s="84">
        <f>'403715'!A3</f>
        <v>403715</v>
      </c>
      <c r="D31" s="32" t="s">
        <v>142</v>
      </c>
      <c r="E31" s="32" t="s">
        <v>171</v>
      </c>
      <c r="F31" s="33">
        <v>2</v>
      </c>
      <c r="G31" s="98">
        <v>100</v>
      </c>
      <c r="H31" s="101">
        <v>3000</v>
      </c>
      <c r="I31" s="102"/>
      <c r="J31" s="34">
        <f t="shared" si="2"/>
        <v>300000</v>
      </c>
      <c r="L31"/>
    </row>
    <row r="32" spans="1:12" ht="48" customHeight="1" x14ac:dyDescent="0.25">
      <c r="A32" s="30">
        <f t="shared" si="1"/>
        <v>15</v>
      </c>
      <c r="B32" s="31">
        <f>'403733'!E3</f>
        <v>44528</v>
      </c>
      <c r="C32" s="84">
        <f>'403733'!A3</f>
        <v>403733</v>
      </c>
      <c r="D32" s="32" t="s">
        <v>142</v>
      </c>
      <c r="E32" s="32" t="s">
        <v>171</v>
      </c>
      <c r="F32" s="33">
        <v>8</v>
      </c>
      <c r="G32" s="98">
        <v>100</v>
      </c>
      <c r="H32" s="101">
        <v>3000</v>
      </c>
      <c r="I32" s="102"/>
      <c r="J32" s="34">
        <f t="shared" si="2"/>
        <v>300000</v>
      </c>
      <c r="L32"/>
    </row>
    <row r="33" spans="1:12" ht="48" customHeight="1" x14ac:dyDescent="0.25">
      <c r="A33" s="30">
        <f t="shared" si="1"/>
        <v>16</v>
      </c>
      <c r="B33" s="31">
        <f>'403740'!E3</f>
        <v>44530</v>
      </c>
      <c r="C33" s="84">
        <f>'403740'!A3</f>
        <v>403740</v>
      </c>
      <c r="D33" s="32" t="s">
        <v>142</v>
      </c>
      <c r="E33" s="32" t="s">
        <v>171</v>
      </c>
      <c r="F33" s="33">
        <v>10</v>
      </c>
      <c r="G33" s="98">
        <f>'403740'!N13</f>
        <v>127.64099999999999</v>
      </c>
      <c r="H33" s="101">
        <v>3000</v>
      </c>
      <c r="I33" s="102"/>
      <c r="J33" s="34">
        <f t="shared" si="2"/>
        <v>382923</v>
      </c>
      <c r="L33"/>
    </row>
    <row r="34" spans="1:12" ht="32.25" customHeight="1" thickBot="1" x14ac:dyDescent="0.3">
      <c r="A34" s="110" t="s">
        <v>30</v>
      </c>
      <c r="B34" s="111"/>
      <c r="C34" s="111"/>
      <c r="D34" s="111"/>
      <c r="E34" s="111"/>
      <c r="F34" s="111"/>
      <c r="G34" s="111"/>
      <c r="H34" s="111"/>
      <c r="I34" s="112"/>
      <c r="J34" s="35">
        <f>SUM(J18:J33)</f>
        <v>7630744.5</v>
      </c>
      <c r="L34" s="82">
        <f>'402445'!P15+'402318'!P13+'402322'!P11+'402329'!P16+'402333'!P30+'402337'!P15+'402341'!P13+'402345'!P10+'403868'!P9+'403879'!P10+'403885'!P9+'403900'!P9+'406076'!P9+'403715'!P10+'403733'!P16+'403740'!P18</f>
        <v>5429743.0852499995</v>
      </c>
    </row>
    <row r="35" spans="1:12" x14ac:dyDescent="0.25">
      <c r="A35" s="113"/>
      <c r="B35" s="113"/>
      <c r="C35" s="36"/>
      <c r="D35" s="36"/>
      <c r="E35" s="36"/>
      <c r="F35" s="36"/>
      <c r="G35" s="36"/>
      <c r="H35" s="37"/>
      <c r="I35" s="37"/>
      <c r="J35" s="38"/>
    </row>
    <row r="36" spans="1:12" x14ac:dyDescent="0.25">
      <c r="A36" s="85"/>
      <c r="B36" s="85"/>
      <c r="C36" s="85"/>
      <c r="D36" s="85"/>
      <c r="E36" s="85"/>
      <c r="F36" s="85"/>
      <c r="G36" s="39" t="s">
        <v>51</v>
      </c>
      <c r="H36" s="39"/>
      <c r="I36" s="37"/>
      <c r="J36" s="38">
        <f>J34*10%</f>
        <v>763074.45000000007</v>
      </c>
      <c r="L36" s="40"/>
    </row>
    <row r="37" spans="1:12" x14ac:dyDescent="0.25">
      <c r="A37" s="85"/>
      <c r="B37" s="85"/>
      <c r="C37" s="85"/>
      <c r="D37" s="85"/>
      <c r="E37" s="85"/>
      <c r="F37" s="85"/>
      <c r="G37" s="92" t="s">
        <v>52</v>
      </c>
      <c r="H37" s="92"/>
      <c r="I37" s="93"/>
      <c r="J37" s="95">
        <f>J34-J36</f>
        <v>6867670.0499999998</v>
      </c>
      <c r="L37" s="40"/>
    </row>
    <row r="38" spans="1:12" x14ac:dyDescent="0.25">
      <c r="A38" s="85"/>
      <c r="B38" s="85"/>
      <c r="C38" s="85"/>
      <c r="D38" s="85"/>
      <c r="E38" s="85"/>
      <c r="F38" s="85"/>
      <c r="G38" s="39" t="s">
        <v>31</v>
      </c>
      <c r="H38" s="39"/>
      <c r="I38" s="40" t="e">
        <f>#REF!*1%</f>
        <v>#REF!</v>
      </c>
      <c r="J38" s="38">
        <f>J37*1%</f>
        <v>68676.700500000006</v>
      </c>
    </row>
    <row r="39" spans="1:12" ht="16.5" thickBot="1" x14ac:dyDescent="0.3">
      <c r="A39" s="85"/>
      <c r="B39" s="85"/>
      <c r="C39" s="85"/>
      <c r="D39" s="85"/>
      <c r="E39" s="85"/>
      <c r="F39" s="85"/>
      <c r="G39" s="94" t="s">
        <v>54</v>
      </c>
      <c r="H39" s="94"/>
      <c r="I39" s="41">
        <f>I35*10%</f>
        <v>0</v>
      </c>
      <c r="J39" s="41">
        <f>J37*2%</f>
        <v>137353.40100000001</v>
      </c>
    </row>
    <row r="40" spans="1:12" x14ac:dyDescent="0.25">
      <c r="E40" s="17"/>
      <c r="F40" s="17"/>
      <c r="G40" s="42" t="s">
        <v>55</v>
      </c>
      <c r="H40" s="42"/>
      <c r="I40" s="43" t="e">
        <f>I34+I38</f>
        <v>#REF!</v>
      </c>
      <c r="J40" s="43">
        <f>J37+J38-J39</f>
        <v>6798993.3495000005</v>
      </c>
    </row>
    <row r="41" spans="1:12" x14ac:dyDescent="0.25">
      <c r="E41" s="17"/>
      <c r="F41" s="17"/>
      <c r="G41" s="42"/>
      <c r="H41" s="42"/>
      <c r="I41" s="43"/>
      <c r="J41" s="43"/>
    </row>
    <row r="42" spans="1:12" x14ac:dyDescent="0.25">
      <c r="A42" s="17" t="s">
        <v>172</v>
      </c>
      <c r="D42" s="17"/>
      <c r="E42" s="17"/>
      <c r="F42" s="17"/>
      <c r="G42" s="17"/>
      <c r="H42" s="42"/>
      <c r="I42" s="42"/>
      <c r="J42" s="43"/>
    </row>
    <row r="43" spans="1:12" x14ac:dyDescent="0.25">
      <c r="A43" s="44"/>
      <c r="D43" s="17"/>
      <c r="E43" s="17"/>
      <c r="F43" s="17"/>
      <c r="G43" s="17"/>
      <c r="H43" s="42"/>
      <c r="I43" s="42"/>
      <c r="J43" s="43"/>
    </row>
    <row r="44" spans="1:12" x14ac:dyDescent="0.25">
      <c r="D44" s="17"/>
      <c r="E44" s="17"/>
      <c r="F44" s="17"/>
      <c r="G44" s="17"/>
      <c r="H44" s="42"/>
      <c r="I44" s="42"/>
      <c r="J44" s="43"/>
    </row>
    <row r="45" spans="1:12" x14ac:dyDescent="0.25">
      <c r="A45" s="45" t="s">
        <v>33</v>
      </c>
    </row>
    <row r="46" spans="1:12" x14ac:dyDescent="0.25">
      <c r="A46" s="46" t="s">
        <v>34</v>
      </c>
      <c r="B46" s="47"/>
      <c r="C46" s="47"/>
      <c r="D46" s="48"/>
      <c r="E46" s="48"/>
      <c r="F46" s="48"/>
      <c r="G46" s="48"/>
    </row>
    <row r="47" spans="1:12" x14ac:dyDescent="0.25">
      <c r="A47" s="46" t="s">
        <v>35</v>
      </c>
      <c r="B47" s="47"/>
      <c r="C47" s="47"/>
      <c r="D47" s="48"/>
      <c r="E47" s="48"/>
      <c r="F47" s="48"/>
      <c r="G47" s="48"/>
    </row>
    <row r="48" spans="1:12" x14ac:dyDescent="0.25">
      <c r="A48" s="49" t="s">
        <v>36</v>
      </c>
      <c r="B48" s="50"/>
      <c r="C48" s="50"/>
      <c r="D48" s="48"/>
      <c r="E48" s="48"/>
      <c r="F48" s="48"/>
      <c r="G48" s="48"/>
    </row>
    <row r="49" spans="1:10" x14ac:dyDescent="0.25">
      <c r="A49" s="51" t="s">
        <v>8</v>
      </c>
      <c r="B49" s="52"/>
      <c r="C49" s="52"/>
      <c r="D49" s="48"/>
      <c r="E49" s="48"/>
      <c r="F49" s="48"/>
      <c r="G49" s="48"/>
    </row>
    <row r="50" spans="1:10" x14ac:dyDescent="0.25">
      <c r="A50" s="53"/>
      <c r="B50" s="53"/>
      <c r="C50" s="53"/>
    </row>
    <row r="51" spans="1:10" x14ac:dyDescent="0.25">
      <c r="H51" s="54" t="s">
        <v>37</v>
      </c>
      <c r="I51" s="103" t="str">
        <f>+J13</f>
        <v xml:space="preserve"> 29 Desember 21</v>
      </c>
      <c r="J51" s="104"/>
    </row>
    <row r="55" spans="1:10" ht="18" customHeight="1" x14ac:dyDescent="0.25"/>
    <row r="56" spans="1:10" ht="17.25" customHeight="1" x14ac:dyDescent="0.25"/>
    <row r="58" spans="1:10" x14ac:dyDescent="0.25">
      <c r="H58" s="99" t="s">
        <v>38</v>
      </c>
      <c r="I58" s="99"/>
      <c r="J58" s="99"/>
    </row>
  </sheetData>
  <mergeCells count="25">
    <mergeCell ref="A10:J10"/>
    <mergeCell ref="H17:I17"/>
    <mergeCell ref="H18:I18"/>
    <mergeCell ref="A34:I34"/>
    <mergeCell ref="A35:B35"/>
    <mergeCell ref="H19:I19"/>
    <mergeCell ref="H20:I20"/>
    <mergeCell ref="H24:I24"/>
    <mergeCell ref="H22:I22"/>
    <mergeCell ref="H21:I21"/>
    <mergeCell ref="H25:I25"/>
    <mergeCell ref="H28:I28"/>
    <mergeCell ref="H23:I23"/>
    <mergeCell ref="H58:J58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I51:J5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403868</v>
      </c>
      <c r="B3" s="74" t="s">
        <v>127</v>
      </c>
      <c r="C3" s="9" t="s">
        <v>128</v>
      </c>
      <c r="D3" s="76" t="s">
        <v>142</v>
      </c>
      <c r="E3" s="13">
        <v>44513</v>
      </c>
      <c r="F3" s="76" t="s">
        <v>64</v>
      </c>
      <c r="G3" s="13">
        <v>44524</v>
      </c>
      <c r="H3" s="10" t="s">
        <v>129</v>
      </c>
      <c r="I3" s="1">
        <v>67</v>
      </c>
      <c r="J3" s="1">
        <v>80</v>
      </c>
      <c r="K3" s="1">
        <v>21</v>
      </c>
      <c r="L3" s="1">
        <v>10</v>
      </c>
      <c r="M3" s="80">
        <v>28.14</v>
      </c>
      <c r="N3" s="96">
        <v>28.14</v>
      </c>
      <c r="O3" s="64">
        <v>3000</v>
      </c>
      <c r="P3" s="65">
        <f>Table224578910112345678910[[#This Row],[PEMBULATAN]]*O3</f>
        <v>84420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SUBTOTAL(109,Table224578910112345678910[KG VOLUME])</f>
        <v>28.14</v>
      </c>
      <c r="N4" s="68">
        <f>SUM(N3:N3)</f>
        <v>28.14</v>
      </c>
      <c r="O4" s="117">
        <f>SUM(P3:P3)</f>
        <v>84420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8442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75978</v>
      </c>
    </row>
    <row r="7" spans="1:16" ht="18" customHeight="1" x14ac:dyDescent="0.2">
      <c r="A7" s="11"/>
      <c r="H7" s="63"/>
      <c r="N7" s="62" t="s">
        <v>31</v>
      </c>
      <c r="P7" s="69">
        <f>P6*1%</f>
        <v>759.78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1519.56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75218.22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0" sqref="I9:I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403879</v>
      </c>
      <c r="B3" s="74" t="s">
        <v>130</v>
      </c>
      <c r="C3" s="9" t="s">
        <v>131</v>
      </c>
      <c r="D3" s="76" t="s">
        <v>142</v>
      </c>
      <c r="E3" s="13">
        <v>44517</v>
      </c>
      <c r="F3" s="76" t="s">
        <v>64</v>
      </c>
      <c r="G3" s="13">
        <v>44524</v>
      </c>
      <c r="H3" s="10" t="s">
        <v>129</v>
      </c>
      <c r="I3" s="1">
        <v>54</v>
      </c>
      <c r="J3" s="1">
        <v>21</v>
      </c>
      <c r="K3" s="1">
        <v>12</v>
      </c>
      <c r="L3" s="1">
        <v>23</v>
      </c>
      <c r="M3" s="80">
        <v>3.4020000000000001</v>
      </c>
      <c r="N3" s="8">
        <v>23</v>
      </c>
      <c r="O3" s="64">
        <v>3000</v>
      </c>
      <c r="P3" s="65">
        <f>Table22457891011234567891011[[#This Row],[PEMBULATAN]]*O3</f>
        <v>69000</v>
      </c>
    </row>
    <row r="4" spans="1:16" ht="26.25" customHeight="1" x14ac:dyDescent="0.2">
      <c r="A4" s="14"/>
      <c r="B4" s="75"/>
      <c r="C4" s="9" t="s">
        <v>132</v>
      </c>
      <c r="D4" s="76" t="s">
        <v>142</v>
      </c>
      <c r="E4" s="13">
        <v>44517</v>
      </c>
      <c r="F4" s="76" t="s">
        <v>64</v>
      </c>
      <c r="G4" s="13">
        <v>44524</v>
      </c>
      <c r="H4" s="10" t="s">
        <v>129</v>
      </c>
      <c r="I4" s="1">
        <v>54</v>
      </c>
      <c r="J4" s="1">
        <v>21</v>
      </c>
      <c r="K4" s="1">
        <v>12</v>
      </c>
      <c r="L4" s="1">
        <v>23</v>
      </c>
      <c r="M4" s="80">
        <v>3.4020000000000001</v>
      </c>
      <c r="N4" s="8">
        <v>23</v>
      </c>
      <c r="O4" s="64">
        <v>3000</v>
      </c>
      <c r="P4" s="65">
        <f>Table22457891011234567891011[[#This Row],[PEMBULATAN]]*O4</f>
        <v>69000</v>
      </c>
    </row>
    <row r="5" spans="1:16" ht="22.5" customHeight="1" x14ac:dyDescent="0.2">
      <c r="A5" s="114" t="s">
        <v>30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  <c r="M5" s="79">
        <f>SUBTOTAL(109,Table22457891011234567891011[KG VOLUME])</f>
        <v>6.8040000000000003</v>
      </c>
      <c r="N5" s="68">
        <f>SUM(N3:N4)</f>
        <v>46</v>
      </c>
      <c r="O5" s="117">
        <f>SUM(P3:P4)</f>
        <v>138000</v>
      </c>
      <c r="P5" s="118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13800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124200</v>
      </c>
    </row>
    <row r="8" spans="1:16" ht="18" customHeight="1" x14ac:dyDescent="0.2">
      <c r="A8" s="11"/>
      <c r="H8" s="63"/>
      <c r="N8" s="62" t="s">
        <v>31</v>
      </c>
      <c r="P8" s="69">
        <f>P7*1%</f>
        <v>1242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2484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122958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17" priority="2"/>
  </conditionalFormatting>
  <conditionalFormatting sqref="B4">
    <cfRule type="duplicateValues" dxfId="11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403885</v>
      </c>
      <c r="B3" s="74" t="s">
        <v>133</v>
      </c>
      <c r="C3" s="9" t="s">
        <v>134</v>
      </c>
      <c r="D3" s="76" t="s">
        <v>142</v>
      </c>
      <c r="E3" s="13">
        <v>44518</v>
      </c>
      <c r="F3" s="76" t="s">
        <v>64</v>
      </c>
      <c r="G3" s="13">
        <v>44524</v>
      </c>
      <c r="H3" s="10" t="s">
        <v>129</v>
      </c>
      <c r="I3" s="1">
        <v>102</v>
      </c>
      <c r="J3" s="1">
        <v>65</v>
      </c>
      <c r="K3" s="1">
        <v>55</v>
      </c>
      <c r="L3" s="1">
        <v>23</v>
      </c>
      <c r="M3" s="80">
        <v>91.162499999999994</v>
      </c>
      <c r="N3" s="96">
        <v>91.162499999999994</v>
      </c>
      <c r="O3" s="64">
        <v>3000</v>
      </c>
      <c r="P3" s="65">
        <f>Table2245789101123456789101112[[#This Row],[PEMBULATAN]]*O3</f>
        <v>273487.5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SUBTOTAL(109,Table2245789101123456789101112[KG VOLUME])</f>
        <v>91.162499999999994</v>
      </c>
      <c r="N4" s="68">
        <f>SUM(N3:N3)</f>
        <v>91.162499999999994</v>
      </c>
      <c r="O4" s="117">
        <f>SUM(P3:P3)</f>
        <v>273487.5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27348.75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246138.75</v>
      </c>
    </row>
    <row r="7" spans="1:16" ht="18" customHeight="1" x14ac:dyDescent="0.2">
      <c r="A7" s="11"/>
      <c r="H7" s="63"/>
      <c r="N7" s="62" t="s">
        <v>31</v>
      </c>
      <c r="P7" s="69">
        <f>P6*1%</f>
        <v>2461.3875000000003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4922.7750000000005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243677.36250000002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0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RowHeight="15" x14ac:dyDescent="0.2"/>
  <cols>
    <col min="1" max="1" width="8" style="4" customWidth="1"/>
    <col min="2" max="2" width="19.5703125" style="2" customWidth="1"/>
    <col min="3" max="3" width="16.710937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403900</v>
      </c>
      <c r="B3" s="74" t="s">
        <v>135</v>
      </c>
      <c r="C3" s="9" t="s">
        <v>136</v>
      </c>
      <c r="D3" s="76" t="s">
        <v>142</v>
      </c>
      <c r="E3" s="13">
        <v>44521</v>
      </c>
      <c r="F3" s="76" t="s">
        <v>64</v>
      </c>
      <c r="G3" s="13">
        <v>44524</v>
      </c>
      <c r="H3" s="10" t="s">
        <v>129</v>
      </c>
      <c r="I3" s="1">
        <v>34</v>
      </c>
      <c r="J3" s="1">
        <v>18</v>
      </c>
      <c r="K3" s="1">
        <v>18</v>
      </c>
      <c r="L3" s="1">
        <v>6</v>
      </c>
      <c r="M3" s="80">
        <v>2.754</v>
      </c>
      <c r="N3" s="8">
        <v>6</v>
      </c>
      <c r="O3" s="64">
        <v>3000</v>
      </c>
      <c r="P3" s="65">
        <f>Table224578910112345678910111213[[#This Row],[PEMBULATAN]]*O3</f>
        <v>18000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SUBTOTAL(109,Table224578910112345678910111213[KG VOLUME])</f>
        <v>2.754</v>
      </c>
      <c r="N4" s="68">
        <f>SUM(N3:N3)</f>
        <v>6</v>
      </c>
      <c r="O4" s="117">
        <f>SUM(P3:P3)</f>
        <v>18000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1800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16200</v>
      </c>
    </row>
    <row r="7" spans="1:16" ht="18" customHeight="1" x14ac:dyDescent="0.2">
      <c r="A7" s="11"/>
      <c r="H7" s="63"/>
      <c r="N7" s="62" t="s">
        <v>31</v>
      </c>
      <c r="P7" s="69">
        <f>P6*1%</f>
        <v>162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324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16038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8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406076</v>
      </c>
      <c r="B3" s="74" t="s">
        <v>137</v>
      </c>
      <c r="C3" s="9" t="s">
        <v>138</v>
      </c>
      <c r="D3" s="76" t="s">
        <v>142</v>
      </c>
      <c r="E3" s="13">
        <v>44522</v>
      </c>
      <c r="F3" s="76" t="s">
        <v>64</v>
      </c>
      <c r="G3" s="13">
        <v>44524</v>
      </c>
      <c r="H3" s="10" t="s">
        <v>129</v>
      </c>
      <c r="I3" s="1">
        <v>47</v>
      </c>
      <c r="J3" s="1">
        <v>33</v>
      </c>
      <c r="K3" s="1">
        <v>15</v>
      </c>
      <c r="L3" s="1">
        <v>5</v>
      </c>
      <c r="M3" s="80">
        <v>5.8162500000000001</v>
      </c>
      <c r="N3" s="96">
        <v>5.8162500000000001</v>
      </c>
      <c r="O3" s="64">
        <v>3000</v>
      </c>
      <c r="P3" s="65">
        <f>Table22457891011234567891011121314[[#This Row],[PEMBULATAN]]*O3</f>
        <v>17448.75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SUBTOTAL(109,Table22457891011234567891011121314[KG VOLUME])</f>
        <v>5.8162500000000001</v>
      </c>
      <c r="N4" s="68">
        <f>SUM(N3:N3)</f>
        <v>5.8162500000000001</v>
      </c>
      <c r="O4" s="117">
        <f>SUM(P3:P3)</f>
        <v>17448.75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1744.875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15703.875</v>
      </c>
    </row>
    <row r="7" spans="1:16" ht="18" customHeight="1" x14ac:dyDescent="0.2">
      <c r="A7" s="11"/>
      <c r="H7" s="63"/>
      <c r="N7" s="62" t="s">
        <v>31</v>
      </c>
      <c r="P7" s="69">
        <f>P6*1%</f>
        <v>157.03874999999999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314.07749999999999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15546.83625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8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403715</v>
      </c>
      <c r="B3" s="74" t="s">
        <v>139</v>
      </c>
      <c r="C3" s="9" t="s">
        <v>140</v>
      </c>
      <c r="D3" s="76" t="s">
        <v>142</v>
      </c>
      <c r="E3" s="13">
        <v>44526</v>
      </c>
      <c r="F3" s="76" t="s">
        <v>143</v>
      </c>
      <c r="G3" s="13">
        <v>44545</v>
      </c>
      <c r="H3" s="10" t="s">
        <v>144</v>
      </c>
      <c r="I3" s="1">
        <v>59</v>
      </c>
      <c r="J3" s="1">
        <v>60</v>
      </c>
      <c r="K3" s="1">
        <v>21</v>
      </c>
      <c r="L3" s="1">
        <v>17</v>
      </c>
      <c r="M3" s="80">
        <v>18.585000000000001</v>
      </c>
      <c r="N3" s="96">
        <v>18.585000000000001</v>
      </c>
      <c r="O3" s="64">
        <v>3000</v>
      </c>
      <c r="P3" s="65">
        <f>Table2245789101123456789101112131415[[#This Row],[PEMBULATAN]]*O3</f>
        <v>55755</v>
      </c>
    </row>
    <row r="4" spans="1:16" ht="26.25" customHeight="1" x14ac:dyDescent="0.2">
      <c r="A4" s="14"/>
      <c r="B4" s="75"/>
      <c r="C4" s="9" t="s">
        <v>141</v>
      </c>
      <c r="D4" s="76" t="s">
        <v>142</v>
      </c>
      <c r="E4" s="13">
        <v>44526</v>
      </c>
      <c r="F4" s="76" t="s">
        <v>143</v>
      </c>
      <c r="G4" s="13">
        <v>44545</v>
      </c>
      <c r="H4" s="10" t="s">
        <v>144</v>
      </c>
      <c r="I4" s="1">
        <v>59</v>
      </c>
      <c r="J4" s="1">
        <v>60</v>
      </c>
      <c r="K4" s="1">
        <v>21</v>
      </c>
      <c r="L4" s="1">
        <v>23</v>
      </c>
      <c r="M4" s="80">
        <v>18.585000000000001</v>
      </c>
      <c r="N4" s="8">
        <v>23</v>
      </c>
      <c r="O4" s="64">
        <v>3000</v>
      </c>
      <c r="P4" s="65">
        <f>Table2245789101123456789101112131415[[#This Row],[PEMBULATAN]]*O4</f>
        <v>69000</v>
      </c>
    </row>
    <row r="5" spans="1:16" ht="22.5" customHeight="1" x14ac:dyDescent="0.2">
      <c r="A5" s="114" t="s">
        <v>30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  <c r="M5" s="79">
        <f>SUBTOTAL(109,Table2245789101123456789101112131415[KG VOLUME])</f>
        <v>37.17</v>
      </c>
      <c r="N5" s="68">
        <f>SUM(N3:N4)</f>
        <v>41.585000000000001</v>
      </c>
      <c r="O5" s="117">
        <f>SUM(P3:P4)</f>
        <v>124755</v>
      </c>
      <c r="P5" s="118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12475.5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112279.5</v>
      </c>
    </row>
    <row r="8" spans="1:16" ht="18" customHeight="1" x14ac:dyDescent="0.2">
      <c r="A8" s="11"/>
      <c r="H8" s="63"/>
      <c r="N8" s="62" t="s">
        <v>31</v>
      </c>
      <c r="P8" s="69">
        <f>P7*1%</f>
        <v>1122.7950000000001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2245.59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111156.705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52" priority="2"/>
  </conditionalFormatting>
  <conditionalFormatting sqref="B4">
    <cfRule type="duplicateValues" dxfId="5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403733</v>
      </c>
      <c r="B3" s="74" t="s">
        <v>145</v>
      </c>
      <c r="C3" s="9" t="s">
        <v>146</v>
      </c>
      <c r="D3" s="76" t="s">
        <v>142</v>
      </c>
      <c r="E3" s="13">
        <v>44528</v>
      </c>
      <c r="F3" s="76" t="s">
        <v>143</v>
      </c>
      <c r="G3" s="13">
        <v>44545</v>
      </c>
      <c r="H3" s="10" t="s">
        <v>144</v>
      </c>
      <c r="I3" s="1">
        <v>33</v>
      </c>
      <c r="J3" s="1">
        <v>22</v>
      </c>
      <c r="K3" s="1">
        <v>20</v>
      </c>
      <c r="L3" s="1">
        <v>8</v>
      </c>
      <c r="M3" s="80">
        <v>3.63</v>
      </c>
      <c r="N3" s="8">
        <v>8</v>
      </c>
      <c r="O3" s="64">
        <v>3000</v>
      </c>
      <c r="P3" s="65">
        <f>Table224578910112345678910111213141516[[#This Row],[PEMBULATAN]]*O3</f>
        <v>24000</v>
      </c>
    </row>
    <row r="4" spans="1:16" ht="26.25" customHeight="1" x14ac:dyDescent="0.2">
      <c r="A4" s="14"/>
      <c r="B4" s="75"/>
      <c r="C4" s="9" t="s">
        <v>147</v>
      </c>
      <c r="D4" s="76" t="s">
        <v>142</v>
      </c>
      <c r="E4" s="13">
        <v>44528</v>
      </c>
      <c r="F4" s="76" t="s">
        <v>143</v>
      </c>
      <c r="G4" s="13">
        <v>44545</v>
      </c>
      <c r="H4" s="10" t="s">
        <v>144</v>
      </c>
      <c r="I4" s="1">
        <v>36</v>
      </c>
      <c r="J4" s="1">
        <v>36</v>
      </c>
      <c r="K4" s="1">
        <v>18</v>
      </c>
      <c r="L4" s="1">
        <v>12</v>
      </c>
      <c r="M4" s="80">
        <v>5.8319999999999999</v>
      </c>
      <c r="N4" s="8">
        <v>12</v>
      </c>
      <c r="O4" s="64">
        <v>3000</v>
      </c>
      <c r="P4" s="65">
        <f>Table224578910112345678910111213141516[[#This Row],[PEMBULATAN]]*O4</f>
        <v>36000</v>
      </c>
    </row>
    <row r="5" spans="1:16" ht="26.25" customHeight="1" x14ac:dyDescent="0.2">
      <c r="A5" s="14"/>
      <c r="B5" s="14"/>
      <c r="C5" s="9" t="s">
        <v>148</v>
      </c>
      <c r="D5" s="76" t="s">
        <v>142</v>
      </c>
      <c r="E5" s="13">
        <v>44528</v>
      </c>
      <c r="F5" s="76" t="s">
        <v>143</v>
      </c>
      <c r="G5" s="13">
        <v>44545</v>
      </c>
      <c r="H5" s="10" t="s">
        <v>144</v>
      </c>
      <c r="I5" s="1">
        <v>40</v>
      </c>
      <c r="J5" s="1">
        <v>34</v>
      </c>
      <c r="K5" s="1">
        <v>21</v>
      </c>
      <c r="L5" s="1">
        <v>10</v>
      </c>
      <c r="M5" s="80">
        <v>7.14</v>
      </c>
      <c r="N5" s="8">
        <v>10</v>
      </c>
      <c r="O5" s="64">
        <v>3000</v>
      </c>
      <c r="P5" s="65">
        <f>Table224578910112345678910111213141516[[#This Row],[PEMBULATAN]]*O5</f>
        <v>30000</v>
      </c>
    </row>
    <row r="6" spans="1:16" ht="26.25" customHeight="1" x14ac:dyDescent="0.2">
      <c r="A6" s="14"/>
      <c r="B6" s="14"/>
      <c r="C6" s="73" t="s">
        <v>149</v>
      </c>
      <c r="D6" s="78" t="s">
        <v>142</v>
      </c>
      <c r="E6" s="13">
        <v>44528</v>
      </c>
      <c r="F6" s="76" t="s">
        <v>143</v>
      </c>
      <c r="G6" s="13">
        <v>44545</v>
      </c>
      <c r="H6" s="77" t="s">
        <v>144</v>
      </c>
      <c r="I6" s="16">
        <v>36</v>
      </c>
      <c r="J6" s="16">
        <v>36</v>
      </c>
      <c r="K6" s="16">
        <v>12</v>
      </c>
      <c r="L6" s="16">
        <v>10</v>
      </c>
      <c r="M6" s="81">
        <v>3.8879999999999999</v>
      </c>
      <c r="N6" s="72">
        <v>10</v>
      </c>
      <c r="O6" s="64">
        <v>3000</v>
      </c>
      <c r="P6" s="65">
        <f>Table224578910112345678910111213141516[[#This Row],[PEMBULATAN]]*O6</f>
        <v>30000</v>
      </c>
    </row>
    <row r="7" spans="1:16" ht="26.25" customHeight="1" x14ac:dyDescent="0.2">
      <c r="A7" s="14"/>
      <c r="B7" s="14"/>
      <c r="C7" s="73" t="s">
        <v>150</v>
      </c>
      <c r="D7" s="78" t="s">
        <v>142</v>
      </c>
      <c r="E7" s="13">
        <v>44528</v>
      </c>
      <c r="F7" s="76" t="s">
        <v>143</v>
      </c>
      <c r="G7" s="13">
        <v>44545</v>
      </c>
      <c r="H7" s="77" t="s">
        <v>144</v>
      </c>
      <c r="I7" s="16">
        <v>46</v>
      </c>
      <c r="J7" s="16">
        <v>30</v>
      </c>
      <c r="K7" s="16">
        <v>18</v>
      </c>
      <c r="L7" s="16">
        <v>10</v>
      </c>
      <c r="M7" s="81">
        <v>6.21</v>
      </c>
      <c r="N7" s="72">
        <v>10</v>
      </c>
      <c r="O7" s="64">
        <v>3000</v>
      </c>
      <c r="P7" s="65">
        <f>Table224578910112345678910111213141516[[#This Row],[PEMBULATAN]]*O7</f>
        <v>30000</v>
      </c>
    </row>
    <row r="8" spans="1:16" ht="26.25" customHeight="1" x14ac:dyDescent="0.2">
      <c r="A8" s="14"/>
      <c r="B8" s="14"/>
      <c r="C8" s="73" t="s">
        <v>151</v>
      </c>
      <c r="D8" s="78" t="s">
        <v>142</v>
      </c>
      <c r="E8" s="13">
        <v>44528</v>
      </c>
      <c r="F8" s="76" t="s">
        <v>143</v>
      </c>
      <c r="G8" s="13">
        <v>44545</v>
      </c>
      <c r="H8" s="77" t="s">
        <v>144</v>
      </c>
      <c r="I8" s="16">
        <v>56</v>
      </c>
      <c r="J8" s="16">
        <v>48</v>
      </c>
      <c r="K8" s="16">
        <v>11</v>
      </c>
      <c r="L8" s="16">
        <v>10</v>
      </c>
      <c r="M8" s="81">
        <v>7.3920000000000003</v>
      </c>
      <c r="N8" s="72">
        <v>10</v>
      </c>
      <c r="O8" s="64">
        <v>3000</v>
      </c>
      <c r="P8" s="65">
        <f>Table224578910112345678910111213141516[[#This Row],[PEMBULATAN]]*O8</f>
        <v>30000</v>
      </c>
    </row>
    <row r="9" spans="1:16" ht="26.25" customHeight="1" x14ac:dyDescent="0.2">
      <c r="A9" s="14"/>
      <c r="B9" s="14"/>
      <c r="C9" s="73" t="s">
        <v>152</v>
      </c>
      <c r="D9" s="78" t="s">
        <v>142</v>
      </c>
      <c r="E9" s="13">
        <v>44528</v>
      </c>
      <c r="F9" s="76" t="s">
        <v>143</v>
      </c>
      <c r="G9" s="13">
        <v>44545</v>
      </c>
      <c r="H9" s="77" t="s">
        <v>144</v>
      </c>
      <c r="I9" s="16">
        <v>58</v>
      </c>
      <c r="J9" s="16">
        <v>58</v>
      </c>
      <c r="K9" s="16">
        <v>10</v>
      </c>
      <c r="L9" s="16">
        <v>11</v>
      </c>
      <c r="M9" s="81">
        <v>8.41</v>
      </c>
      <c r="N9" s="72">
        <v>11</v>
      </c>
      <c r="O9" s="64">
        <v>3000</v>
      </c>
      <c r="P9" s="65">
        <f>Table224578910112345678910111213141516[[#This Row],[PEMBULATAN]]*O9</f>
        <v>33000</v>
      </c>
    </row>
    <row r="10" spans="1:16" ht="26.25" customHeight="1" x14ac:dyDescent="0.2">
      <c r="A10" s="14"/>
      <c r="B10" s="14"/>
      <c r="C10" s="73" t="s">
        <v>153</v>
      </c>
      <c r="D10" s="78" t="s">
        <v>142</v>
      </c>
      <c r="E10" s="13">
        <v>44528</v>
      </c>
      <c r="F10" s="76" t="s">
        <v>143</v>
      </c>
      <c r="G10" s="13">
        <v>44545</v>
      </c>
      <c r="H10" s="77" t="s">
        <v>144</v>
      </c>
      <c r="I10" s="16">
        <v>44</v>
      </c>
      <c r="J10" s="16">
        <v>33</v>
      </c>
      <c r="K10" s="16">
        <v>30</v>
      </c>
      <c r="L10" s="16">
        <v>9</v>
      </c>
      <c r="M10" s="81">
        <v>10.89</v>
      </c>
      <c r="N10" s="96">
        <v>10.89</v>
      </c>
      <c r="O10" s="64">
        <v>3000</v>
      </c>
      <c r="P10" s="65">
        <f>Table224578910112345678910111213141516[[#This Row],[PEMBULATAN]]*O10</f>
        <v>32670</v>
      </c>
    </row>
    <row r="11" spans="1:16" ht="22.5" customHeight="1" x14ac:dyDescent="0.2">
      <c r="A11" s="114" t="s">
        <v>30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6"/>
      <c r="M11" s="79">
        <f>SUBTOTAL(109,Table224578910112345678910111213141516[KG VOLUME])</f>
        <v>53.39200000000001</v>
      </c>
      <c r="N11" s="68">
        <f>SUM(N3:N10)</f>
        <v>81.89</v>
      </c>
      <c r="O11" s="117">
        <f>SUM(P3:P10)</f>
        <v>245670</v>
      </c>
      <c r="P11" s="118"/>
    </row>
    <row r="12" spans="1:16" ht="18" customHeight="1" x14ac:dyDescent="0.2">
      <c r="A12" s="86"/>
      <c r="B12" s="56" t="s">
        <v>42</v>
      </c>
      <c r="C12" s="55"/>
      <c r="D12" s="57" t="s">
        <v>43</v>
      </c>
      <c r="E12" s="86"/>
      <c r="F12" s="86"/>
      <c r="G12" s="86"/>
      <c r="H12" s="86"/>
      <c r="I12" s="86"/>
      <c r="J12" s="86"/>
      <c r="K12" s="86"/>
      <c r="L12" s="86"/>
      <c r="M12" s="87"/>
      <c r="N12" s="88" t="s">
        <v>51</v>
      </c>
      <c r="O12" s="89"/>
      <c r="P12" s="89">
        <f>O11*10%</f>
        <v>24567</v>
      </c>
    </row>
    <row r="13" spans="1:16" ht="18" customHeight="1" thickBot="1" x14ac:dyDescent="0.25">
      <c r="A13" s="86"/>
      <c r="B13" s="56"/>
      <c r="C13" s="55"/>
      <c r="D13" s="57"/>
      <c r="E13" s="86"/>
      <c r="F13" s="86"/>
      <c r="G13" s="86"/>
      <c r="H13" s="86"/>
      <c r="I13" s="86"/>
      <c r="J13" s="86"/>
      <c r="K13" s="86"/>
      <c r="L13" s="86"/>
      <c r="M13" s="87"/>
      <c r="N13" s="90" t="s">
        <v>52</v>
      </c>
      <c r="O13" s="91"/>
      <c r="P13" s="91">
        <f>O11-P12</f>
        <v>221103</v>
      </c>
    </row>
    <row r="14" spans="1:16" ht="18" customHeight="1" x14ac:dyDescent="0.2">
      <c r="A14" s="11"/>
      <c r="H14" s="63"/>
      <c r="N14" s="62" t="s">
        <v>31</v>
      </c>
      <c r="P14" s="69">
        <f>P13*1%</f>
        <v>2211.0300000000002</v>
      </c>
    </row>
    <row r="15" spans="1:16" ht="18" customHeight="1" thickBot="1" x14ac:dyDescent="0.25">
      <c r="A15" s="11"/>
      <c r="H15" s="63"/>
      <c r="N15" s="62" t="s">
        <v>53</v>
      </c>
      <c r="P15" s="71">
        <f>P13*2%</f>
        <v>4422.0600000000004</v>
      </c>
    </row>
    <row r="16" spans="1:16" ht="18" customHeight="1" x14ac:dyDescent="0.2">
      <c r="A16" s="11"/>
      <c r="H16" s="63"/>
      <c r="N16" s="66" t="s">
        <v>32</v>
      </c>
      <c r="O16" s="67"/>
      <c r="P16" s="70">
        <f>P13+P14-P15</f>
        <v>218891.97</v>
      </c>
    </row>
    <row r="18" spans="1:16" x14ac:dyDescent="0.2">
      <c r="A18" s="11"/>
      <c r="H18" s="63"/>
      <c r="P18" s="71"/>
    </row>
    <row r="19" spans="1:16" x14ac:dyDescent="0.2">
      <c r="A19" s="11"/>
      <c r="H19" s="63"/>
      <c r="O19" s="58"/>
      <c r="P19" s="71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0">
    <cfRule type="duplicateValues" dxfId="33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403740</v>
      </c>
      <c r="B3" s="74" t="s">
        <v>154</v>
      </c>
      <c r="C3" s="9" t="s">
        <v>155</v>
      </c>
      <c r="D3" s="76" t="s">
        <v>142</v>
      </c>
      <c r="E3" s="13">
        <v>44530</v>
      </c>
      <c r="F3" s="76" t="s">
        <v>143</v>
      </c>
      <c r="G3" s="13">
        <v>44545</v>
      </c>
      <c r="H3" s="10" t="s">
        <v>144</v>
      </c>
      <c r="I3" s="1">
        <v>44</v>
      </c>
      <c r="J3" s="1">
        <v>38</v>
      </c>
      <c r="K3" s="1">
        <v>58</v>
      </c>
      <c r="L3" s="1">
        <v>15</v>
      </c>
      <c r="M3" s="80">
        <v>24.244</v>
      </c>
      <c r="N3" s="96">
        <v>24.244</v>
      </c>
      <c r="O3" s="64">
        <v>3000</v>
      </c>
      <c r="P3" s="65">
        <f>Table22457891011234567891011121314151617[[#This Row],[PEMBULATAN]]*O3</f>
        <v>72732</v>
      </c>
    </row>
    <row r="4" spans="1:16" ht="26.25" customHeight="1" x14ac:dyDescent="0.2">
      <c r="A4" s="14"/>
      <c r="B4" s="75" t="s">
        <v>156</v>
      </c>
      <c r="C4" s="9" t="s">
        <v>157</v>
      </c>
      <c r="D4" s="76" t="s">
        <v>142</v>
      </c>
      <c r="E4" s="13">
        <v>44530</v>
      </c>
      <c r="F4" s="76" t="s">
        <v>143</v>
      </c>
      <c r="G4" s="13">
        <v>44545</v>
      </c>
      <c r="H4" s="10" t="s">
        <v>144</v>
      </c>
      <c r="I4" s="1">
        <v>42</v>
      </c>
      <c r="J4" s="1">
        <v>33</v>
      </c>
      <c r="K4" s="1">
        <v>28</v>
      </c>
      <c r="L4" s="1">
        <v>9</v>
      </c>
      <c r="M4" s="80">
        <v>9.702</v>
      </c>
      <c r="N4" s="96">
        <v>9.702</v>
      </c>
      <c r="O4" s="64">
        <v>3000</v>
      </c>
      <c r="P4" s="65">
        <f>Table22457891011234567891011121314151617[[#This Row],[PEMBULATAN]]*O4</f>
        <v>29106</v>
      </c>
    </row>
    <row r="5" spans="1:16" ht="26.25" customHeight="1" x14ac:dyDescent="0.2">
      <c r="A5" s="14"/>
      <c r="B5" s="14"/>
      <c r="C5" s="9" t="s">
        <v>158</v>
      </c>
      <c r="D5" s="76" t="s">
        <v>142</v>
      </c>
      <c r="E5" s="13">
        <v>44530</v>
      </c>
      <c r="F5" s="76" t="s">
        <v>143</v>
      </c>
      <c r="G5" s="13">
        <v>44545</v>
      </c>
      <c r="H5" s="10" t="s">
        <v>144</v>
      </c>
      <c r="I5" s="1">
        <v>51</v>
      </c>
      <c r="J5" s="1">
        <v>36</v>
      </c>
      <c r="K5" s="1">
        <v>10</v>
      </c>
      <c r="L5" s="1">
        <v>10</v>
      </c>
      <c r="M5" s="80">
        <v>4.59</v>
      </c>
      <c r="N5" s="8">
        <v>10</v>
      </c>
      <c r="O5" s="64">
        <v>3000</v>
      </c>
      <c r="P5" s="65">
        <f>Table22457891011234567891011121314151617[[#This Row],[PEMBULATAN]]*O5</f>
        <v>30000</v>
      </c>
    </row>
    <row r="6" spans="1:16" ht="26.25" customHeight="1" x14ac:dyDescent="0.2">
      <c r="A6" s="14"/>
      <c r="B6" s="14"/>
      <c r="C6" s="73" t="s">
        <v>159</v>
      </c>
      <c r="D6" s="78" t="s">
        <v>142</v>
      </c>
      <c r="E6" s="13">
        <v>44530</v>
      </c>
      <c r="F6" s="76" t="s">
        <v>143</v>
      </c>
      <c r="G6" s="13">
        <v>44545</v>
      </c>
      <c r="H6" s="77" t="s">
        <v>144</v>
      </c>
      <c r="I6" s="16">
        <v>44</v>
      </c>
      <c r="J6" s="16">
        <v>27</v>
      </c>
      <c r="K6" s="16">
        <v>16</v>
      </c>
      <c r="L6" s="16">
        <v>10</v>
      </c>
      <c r="M6" s="81">
        <v>4.7519999999999998</v>
      </c>
      <c r="N6" s="72">
        <v>10</v>
      </c>
      <c r="O6" s="64">
        <v>3000</v>
      </c>
      <c r="P6" s="65">
        <f>Table22457891011234567891011121314151617[[#This Row],[PEMBULATAN]]*O6</f>
        <v>30000</v>
      </c>
    </row>
    <row r="7" spans="1:16" ht="26.25" customHeight="1" x14ac:dyDescent="0.2">
      <c r="A7" s="14"/>
      <c r="B7" s="14"/>
      <c r="C7" s="73" t="s">
        <v>160</v>
      </c>
      <c r="D7" s="78" t="s">
        <v>142</v>
      </c>
      <c r="E7" s="13">
        <v>44530</v>
      </c>
      <c r="F7" s="76" t="s">
        <v>143</v>
      </c>
      <c r="G7" s="13">
        <v>44545</v>
      </c>
      <c r="H7" s="77" t="s">
        <v>144</v>
      </c>
      <c r="I7" s="16">
        <v>74</v>
      </c>
      <c r="J7" s="16">
        <v>43</v>
      </c>
      <c r="K7" s="16">
        <v>11</v>
      </c>
      <c r="L7" s="16">
        <v>10</v>
      </c>
      <c r="M7" s="81">
        <v>8.7505000000000006</v>
      </c>
      <c r="N7" s="72">
        <v>10</v>
      </c>
      <c r="O7" s="64">
        <v>3000</v>
      </c>
      <c r="P7" s="65">
        <f>Table22457891011234567891011121314151617[[#This Row],[PEMBULATAN]]*O7</f>
        <v>30000</v>
      </c>
    </row>
    <row r="8" spans="1:16" ht="26.25" customHeight="1" x14ac:dyDescent="0.2">
      <c r="A8" s="14"/>
      <c r="B8" s="14"/>
      <c r="C8" s="73" t="s">
        <v>161</v>
      </c>
      <c r="D8" s="78" t="s">
        <v>142</v>
      </c>
      <c r="E8" s="13">
        <v>44530</v>
      </c>
      <c r="F8" s="76" t="s">
        <v>143</v>
      </c>
      <c r="G8" s="13">
        <v>44545</v>
      </c>
      <c r="H8" s="77" t="s">
        <v>144</v>
      </c>
      <c r="I8" s="16">
        <v>62</v>
      </c>
      <c r="J8" s="16">
        <v>54</v>
      </c>
      <c r="K8" s="16">
        <v>26</v>
      </c>
      <c r="L8" s="16">
        <v>5</v>
      </c>
      <c r="M8" s="81">
        <v>21.762</v>
      </c>
      <c r="N8" s="96">
        <v>21.762</v>
      </c>
      <c r="O8" s="64">
        <v>3000</v>
      </c>
      <c r="P8" s="65">
        <f>Table22457891011234567891011121314151617[[#This Row],[PEMBULATAN]]*O8</f>
        <v>65286</v>
      </c>
    </row>
    <row r="9" spans="1:16" ht="26.25" customHeight="1" x14ac:dyDescent="0.2">
      <c r="A9" s="14"/>
      <c r="B9" s="14"/>
      <c r="C9" s="73" t="s">
        <v>162</v>
      </c>
      <c r="D9" s="78" t="s">
        <v>142</v>
      </c>
      <c r="E9" s="13">
        <v>44530</v>
      </c>
      <c r="F9" s="76" t="s">
        <v>143</v>
      </c>
      <c r="G9" s="13">
        <v>44545</v>
      </c>
      <c r="H9" s="77" t="s">
        <v>144</v>
      </c>
      <c r="I9" s="16">
        <v>35</v>
      </c>
      <c r="J9" s="16">
        <v>35</v>
      </c>
      <c r="K9" s="16">
        <v>18</v>
      </c>
      <c r="L9" s="16">
        <v>12</v>
      </c>
      <c r="M9" s="81">
        <v>5.5125000000000002</v>
      </c>
      <c r="N9" s="96">
        <v>12</v>
      </c>
      <c r="O9" s="64">
        <v>3000</v>
      </c>
      <c r="P9" s="65">
        <f>Table22457891011234567891011121314151617[[#This Row],[PEMBULATAN]]*O9</f>
        <v>36000</v>
      </c>
    </row>
    <row r="10" spans="1:16" ht="26.25" customHeight="1" x14ac:dyDescent="0.2">
      <c r="A10" s="14"/>
      <c r="B10" s="14"/>
      <c r="C10" s="73" t="s">
        <v>163</v>
      </c>
      <c r="D10" s="78" t="s">
        <v>142</v>
      </c>
      <c r="E10" s="13">
        <v>44530</v>
      </c>
      <c r="F10" s="76" t="s">
        <v>143</v>
      </c>
      <c r="G10" s="13">
        <v>44545</v>
      </c>
      <c r="H10" s="77" t="s">
        <v>144</v>
      </c>
      <c r="I10" s="16">
        <v>43</v>
      </c>
      <c r="J10" s="16">
        <v>33</v>
      </c>
      <c r="K10" s="16">
        <v>28</v>
      </c>
      <c r="L10" s="16">
        <v>9</v>
      </c>
      <c r="M10" s="81">
        <v>9.9329999999999998</v>
      </c>
      <c r="N10" s="96">
        <v>9.9329999999999998</v>
      </c>
      <c r="O10" s="64">
        <v>3000</v>
      </c>
      <c r="P10" s="65">
        <f>Table22457891011234567891011121314151617[[#This Row],[PEMBULATAN]]*O10</f>
        <v>29799</v>
      </c>
    </row>
    <row r="11" spans="1:16" ht="26.25" customHeight="1" x14ac:dyDescent="0.2">
      <c r="A11" s="14"/>
      <c r="B11" s="14"/>
      <c r="C11" s="73" t="s">
        <v>164</v>
      </c>
      <c r="D11" s="78" t="s">
        <v>142</v>
      </c>
      <c r="E11" s="13">
        <v>44530</v>
      </c>
      <c r="F11" s="76" t="s">
        <v>143</v>
      </c>
      <c r="G11" s="13">
        <v>44545</v>
      </c>
      <c r="H11" s="77" t="s">
        <v>144</v>
      </c>
      <c r="I11" s="16">
        <v>38</v>
      </c>
      <c r="J11" s="16">
        <v>23</v>
      </c>
      <c r="K11" s="16">
        <v>18</v>
      </c>
      <c r="L11" s="16">
        <v>10</v>
      </c>
      <c r="M11" s="81">
        <v>3.9329999999999998</v>
      </c>
      <c r="N11" s="72">
        <v>10</v>
      </c>
      <c r="O11" s="64">
        <v>3000</v>
      </c>
      <c r="P11" s="65">
        <f>Table22457891011234567891011121314151617[[#This Row],[PEMBULATAN]]*O11</f>
        <v>30000</v>
      </c>
    </row>
    <row r="12" spans="1:16" ht="26.25" customHeight="1" x14ac:dyDescent="0.2">
      <c r="A12" s="14"/>
      <c r="B12" s="14"/>
      <c r="C12" s="73" t="s">
        <v>165</v>
      </c>
      <c r="D12" s="78" t="s">
        <v>142</v>
      </c>
      <c r="E12" s="13">
        <v>44530</v>
      </c>
      <c r="F12" s="76" t="s">
        <v>143</v>
      </c>
      <c r="G12" s="13">
        <v>44545</v>
      </c>
      <c r="H12" s="77" t="s">
        <v>144</v>
      </c>
      <c r="I12" s="16">
        <v>36</v>
      </c>
      <c r="J12" s="16">
        <v>35</v>
      </c>
      <c r="K12" s="16">
        <v>11</v>
      </c>
      <c r="L12" s="16">
        <v>10</v>
      </c>
      <c r="M12" s="81">
        <v>3.4649999999999999</v>
      </c>
      <c r="N12" s="72">
        <v>10</v>
      </c>
      <c r="O12" s="64">
        <v>3000</v>
      </c>
      <c r="P12" s="65">
        <f>Table22457891011234567891011121314151617[[#This Row],[PEMBULATAN]]*O12</f>
        <v>30000</v>
      </c>
    </row>
    <row r="13" spans="1:16" ht="22.5" customHeight="1" x14ac:dyDescent="0.2">
      <c r="A13" s="114" t="s">
        <v>30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6"/>
      <c r="M13" s="79">
        <f>SUBTOTAL(109,Table22457891011234567891011121314151617[KG VOLUME])</f>
        <v>96.644000000000005</v>
      </c>
      <c r="N13" s="68">
        <f>SUM(N3:N12)</f>
        <v>127.64099999999999</v>
      </c>
      <c r="O13" s="117">
        <f>SUM(P3:P12)</f>
        <v>382923</v>
      </c>
      <c r="P13" s="118"/>
    </row>
    <row r="14" spans="1:16" ht="18" customHeight="1" x14ac:dyDescent="0.2">
      <c r="A14" s="86"/>
      <c r="B14" s="56" t="s">
        <v>42</v>
      </c>
      <c r="C14" s="55"/>
      <c r="D14" s="57" t="s">
        <v>43</v>
      </c>
      <c r="E14" s="86"/>
      <c r="F14" s="86"/>
      <c r="G14" s="86"/>
      <c r="H14" s="86"/>
      <c r="I14" s="86"/>
      <c r="J14" s="86"/>
      <c r="K14" s="86"/>
      <c r="L14" s="86"/>
      <c r="M14" s="87"/>
      <c r="N14" s="88" t="s">
        <v>51</v>
      </c>
      <c r="O14" s="89"/>
      <c r="P14" s="89">
        <f>O13*10%</f>
        <v>38292.300000000003</v>
      </c>
    </row>
    <row r="15" spans="1:16" ht="18" customHeight="1" thickBot="1" x14ac:dyDescent="0.25">
      <c r="A15" s="86"/>
      <c r="B15" s="56"/>
      <c r="C15" s="55"/>
      <c r="D15" s="57"/>
      <c r="E15" s="86"/>
      <c r="F15" s="86"/>
      <c r="G15" s="86"/>
      <c r="H15" s="86"/>
      <c r="I15" s="86"/>
      <c r="J15" s="86"/>
      <c r="K15" s="86"/>
      <c r="L15" s="86"/>
      <c r="M15" s="87"/>
      <c r="N15" s="90" t="s">
        <v>52</v>
      </c>
      <c r="O15" s="91"/>
      <c r="P15" s="91">
        <f>O13-P14</f>
        <v>344630.7</v>
      </c>
    </row>
    <row r="16" spans="1:16" ht="18" customHeight="1" x14ac:dyDescent="0.2">
      <c r="A16" s="11"/>
      <c r="H16" s="63"/>
      <c r="N16" s="62" t="s">
        <v>31</v>
      </c>
      <c r="P16" s="69">
        <f>P15*1%</f>
        <v>3446.3070000000002</v>
      </c>
    </row>
    <row r="17" spans="1:16" ht="18" customHeight="1" thickBot="1" x14ac:dyDescent="0.25">
      <c r="A17" s="11"/>
      <c r="H17" s="63"/>
      <c r="N17" s="62" t="s">
        <v>53</v>
      </c>
      <c r="P17" s="71">
        <f>P15*2%</f>
        <v>6892.6140000000005</v>
      </c>
    </row>
    <row r="18" spans="1:16" ht="18" customHeight="1" x14ac:dyDescent="0.2">
      <c r="A18" s="11"/>
      <c r="H18" s="63"/>
      <c r="N18" s="66" t="s">
        <v>32</v>
      </c>
      <c r="O18" s="67"/>
      <c r="P18" s="70">
        <f>P15+P16-P17</f>
        <v>341184.39299999998</v>
      </c>
    </row>
    <row r="20" spans="1:16" x14ac:dyDescent="0.2">
      <c r="A20" s="11"/>
      <c r="H20" s="63"/>
      <c r="P20" s="71"/>
    </row>
    <row r="21" spans="1:16" x14ac:dyDescent="0.2">
      <c r="A21" s="11"/>
      <c r="H21" s="63"/>
      <c r="O21" s="58"/>
      <c r="P21" s="71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</sheetData>
  <mergeCells count="2">
    <mergeCell ref="A13:L13"/>
    <mergeCell ref="O13:P13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2">
    <cfRule type="duplicateValues" dxfId="15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9.25" customHeight="1" x14ac:dyDescent="0.2">
      <c r="A3" s="83">
        <v>402445</v>
      </c>
      <c r="B3" s="74" t="s">
        <v>56</v>
      </c>
      <c r="C3" s="9" t="s">
        <v>57</v>
      </c>
      <c r="D3" s="76" t="s">
        <v>142</v>
      </c>
      <c r="E3" s="13">
        <v>44501</v>
      </c>
      <c r="F3" s="76" t="s">
        <v>64</v>
      </c>
      <c r="G3" s="13">
        <v>44511</v>
      </c>
      <c r="H3" s="10" t="s">
        <v>65</v>
      </c>
      <c r="I3" s="1">
        <v>35</v>
      </c>
      <c r="J3" s="1">
        <v>34</v>
      </c>
      <c r="K3" s="1">
        <v>18</v>
      </c>
      <c r="L3" s="1">
        <v>12</v>
      </c>
      <c r="M3" s="80">
        <v>5.3550000000000004</v>
      </c>
      <c r="N3" s="8">
        <v>12</v>
      </c>
      <c r="O3" s="64">
        <v>3000</v>
      </c>
      <c r="P3" s="65">
        <f>Table224578910112[[#This Row],[PEMBULATAN]]*O3</f>
        <v>36000</v>
      </c>
    </row>
    <row r="4" spans="1:16" ht="29.25" customHeight="1" x14ac:dyDescent="0.2">
      <c r="A4" s="14"/>
      <c r="B4" s="75"/>
      <c r="C4" s="9" t="s">
        <v>58</v>
      </c>
      <c r="D4" s="76" t="s">
        <v>142</v>
      </c>
      <c r="E4" s="13">
        <v>44501</v>
      </c>
      <c r="F4" s="76" t="s">
        <v>64</v>
      </c>
      <c r="G4" s="13">
        <v>44511</v>
      </c>
      <c r="H4" s="10" t="s">
        <v>65</v>
      </c>
      <c r="I4" s="1">
        <v>150</v>
      </c>
      <c r="J4" s="1">
        <v>65</v>
      </c>
      <c r="K4" s="1">
        <v>10</v>
      </c>
      <c r="L4" s="1">
        <v>11</v>
      </c>
      <c r="M4" s="80">
        <v>24.375</v>
      </c>
      <c r="N4" s="8">
        <v>25</v>
      </c>
      <c r="O4" s="64">
        <v>3000</v>
      </c>
      <c r="P4" s="65">
        <f>Table224578910112[[#This Row],[PEMBULATAN]]*O4</f>
        <v>75000</v>
      </c>
    </row>
    <row r="5" spans="1:16" ht="29.25" customHeight="1" x14ac:dyDescent="0.2">
      <c r="A5" s="14"/>
      <c r="B5" s="14"/>
      <c r="C5" s="9" t="s">
        <v>59</v>
      </c>
      <c r="D5" s="76" t="s">
        <v>142</v>
      </c>
      <c r="E5" s="13">
        <v>44501</v>
      </c>
      <c r="F5" s="76" t="s">
        <v>64</v>
      </c>
      <c r="G5" s="13">
        <v>44511</v>
      </c>
      <c r="H5" s="10" t="s">
        <v>65</v>
      </c>
      <c r="I5" s="1">
        <v>56</v>
      </c>
      <c r="J5" s="1">
        <v>62</v>
      </c>
      <c r="K5" s="1">
        <v>26</v>
      </c>
      <c r="L5" s="1">
        <v>3</v>
      </c>
      <c r="M5" s="80">
        <v>22.568000000000001</v>
      </c>
      <c r="N5" s="96">
        <v>22.568000000000001</v>
      </c>
      <c r="O5" s="64">
        <v>3000</v>
      </c>
      <c r="P5" s="65">
        <f>Table224578910112[[#This Row],[PEMBULATAN]]*O5</f>
        <v>67704</v>
      </c>
    </row>
    <row r="6" spans="1:16" ht="29.25" customHeight="1" x14ac:dyDescent="0.2">
      <c r="A6" s="14"/>
      <c r="B6" s="14"/>
      <c r="C6" s="73" t="s">
        <v>60</v>
      </c>
      <c r="D6" s="78" t="s">
        <v>142</v>
      </c>
      <c r="E6" s="13">
        <v>44501</v>
      </c>
      <c r="F6" s="76" t="s">
        <v>64</v>
      </c>
      <c r="G6" s="13">
        <v>44511</v>
      </c>
      <c r="H6" s="77" t="s">
        <v>65</v>
      </c>
      <c r="I6" s="16">
        <v>38</v>
      </c>
      <c r="J6" s="16">
        <v>37</v>
      </c>
      <c r="K6" s="16">
        <v>12</v>
      </c>
      <c r="L6" s="16">
        <v>10</v>
      </c>
      <c r="M6" s="81">
        <v>4.218</v>
      </c>
      <c r="N6" s="96">
        <v>10</v>
      </c>
      <c r="O6" s="64">
        <v>3000</v>
      </c>
      <c r="P6" s="65">
        <f>Table224578910112[[#This Row],[PEMBULATAN]]*O6</f>
        <v>30000</v>
      </c>
    </row>
    <row r="7" spans="1:16" ht="29.25" customHeight="1" x14ac:dyDescent="0.2">
      <c r="A7" s="14"/>
      <c r="B7" s="14"/>
      <c r="C7" s="73" t="s">
        <v>61</v>
      </c>
      <c r="D7" s="78" t="s">
        <v>142</v>
      </c>
      <c r="E7" s="13">
        <v>44501</v>
      </c>
      <c r="F7" s="76" t="s">
        <v>64</v>
      </c>
      <c r="G7" s="13">
        <v>44511</v>
      </c>
      <c r="H7" s="77" t="s">
        <v>65</v>
      </c>
      <c r="I7" s="16">
        <v>57</v>
      </c>
      <c r="J7" s="16">
        <v>38</v>
      </c>
      <c r="K7" s="16">
        <v>10</v>
      </c>
      <c r="L7" s="16">
        <v>10</v>
      </c>
      <c r="M7" s="81">
        <v>5.415</v>
      </c>
      <c r="N7" s="96">
        <v>10</v>
      </c>
      <c r="O7" s="64">
        <v>3000</v>
      </c>
      <c r="P7" s="65">
        <f>Table224578910112[[#This Row],[PEMBULATAN]]*O7</f>
        <v>30000</v>
      </c>
    </row>
    <row r="8" spans="1:16" ht="29.25" customHeight="1" x14ac:dyDescent="0.2">
      <c r="A8" s="14"/>
      <c r="B8" s="14"/>
      <c r="C8" s="73" t="s">
        <v>62</v>
      </c>
      <c r="D8" s="78" t="s">
        <v>142</v>
      </c>
      <c r="E8" s="13">
        <v>44501</v>
      </c>
      <c r="F8" s="76" t="s">
        <v>64</v>
      </c>
      <c r="G8" s="13">
        <v>44511</v>
      </c>
      <c r="H8" s="77" t="s">
        <v>65</v>
      </c>
      <c r="I8" s="16">
        <v>45</v>
      </c>
      <c r="J8" s="16">
        <v>46</v>
      </c>
      <c r="K8" s="16">
        <v>46</v>
      </c>
      <c r="L8" s="16">
        <v>11</v>
      </c>
      <c r="M8" s="81">
        <v>23.805</v>
      </c>
      <c r="N8" s="96">
        <v>23.805</v>
      </c>
      <c r="O8" s="64">
        <v>3000</v>
      </c>
      <c r="P8" s="65">
        <f>Table224578910112[[#This Row],[PEMBULATAN]]*O8</f>
        <v>71415</v>
      </c>
    </row>
    <row r="9" spans="1:16" ht="29.25" customHeight="1" x14ac:dyDescent="0.2">
      <c r="A9" s="14"/>
      <c r="B9" s="14"/>
      <c r="C9" s="73" t="s">
        <v>63</v>
      </c>
      <c r="D9" s="78" t="s">
        <v>142</v>
      </c>
      <c r="E9" s="13">
        <v>44501</v>
      </c>
      <c r="F9" s="76" t="s">
        <v>64</v>
      </c>
      <c r="G9" s="13">
        <v>44511</v>
      </c>
      <c r="H9" s="77" t="s">
        <v>65</v>
      </c>
      <c r="I9" s="16">
        <v>150</v>
      </c>
      <c r="J9" s="16">
        <v>65</v>
      </c>
      <c r="K9" s="16">
        <v>10</v>
      </c>
      <c r="L9" s="16">
        <v>11</v>
      </c>
      <c r="M9" s="81">
        <v>24.375</v>
      </c>
      <c r="N9" s="72">
        <v>25</v>
      </c>
      <c r="O9" s="64">
        <v>3000</v>
      </c>
      <c r="P9" s="65">
        <f>Table224578910112[[#This Row],[PEMBULATAN]]*O9</f>
        <v>75000</v>
      </c>
    </row>
    <row r="10" spans="1:16" ht="22.5" customHeight="1" x14ac:dyDescent="0.2">
      <c r="A10" s="114" t="s">
        <v>30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M10" s="79">
        <f>SUBTOTAL(109,Table224578910112[KG VOLUME])</f>
        <v>110.111</v>
      </c>
      <c r="N10" s="68">
        <f>SUM(N3:N9)</f>
        <v>128.37299999999999</v>
      </c>
      <c r="O10" s="117">
        <f>SUM(P3:P9)</f>
        <v>385119</v>
      </c>
      <c r="P10" s="118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38511.9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346607.1</v>
      </c>
    </row>
    <row r="13" spans="1:16" ht="18" customHeight="1" x14ac:dyDescent="0.2">
      <c r="A13" s="11"/>
      <c r="H13" s="63"/>
      <c r="N13" s="62" t="s">
        <v>31</v>
      </c>
      <c r="P13" s="69">
        <f>P12*1%</f>
        <v>3466.0709999999999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6932.1419999999998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343141.02899999998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276" priority="2"/>
  </conditionalFormatting>
  <conditionalFormatting sqref="B4">
    <cfRule type="duplicateValues" dxfId="275" priority="1"/>
  </conditionalFormatting>
  <conditionalFormatting sqref="B5:B9">
    <cfRule type="duplicateValues" dxfId="274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9" sqref="N9"/>
    </sheetView>
  </sheetViews>
  <sheetFormatPr defaultRowHeight="15" x14ac:dyDescent="0.2"/>
  <cols>
    <col min="1" max="1" width="8" style="4" customWidth="1"/>
    <col min="2" max="2" width="21.140625" style="2" customWidth="1"/>
    <col min="3" max="3" width="14.5703125" style="2" customWidth="1"/>
    <col min="4" max="4" width="9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402318</v>
      </c>
      <c r="B3" s="74" t="s">
        <v>66</v>
      </c>
      <c r="C3" s="9" t="s">
        <v>67</v>
      </c>
      <c r="D3" s="76" t="s">
        <v>142</v>
      </c>
      <c r="E3" s="13">
        <v>44502</v>
      </c>
      <c r="F3" s="76" t="s">
        <v>64</v>
      </c>
      <c r="G3" s="13">
        <v>44511</v>
      </c>
      <c r="H3" s="10" t="s">
        <v>65</v>
      </c>
      <c r="I3" s="1">
        <v>75</v>
      </c>
      <c r="J3" s="1">
        <v>63</v>
      </c>
      <c r="K3" s="1">
        <v>42</v>
      </c>
      <c r="L3" s="1">
        <v>31</v>
      </c>
      <c r="M3" s="80">
        <v>49.612499999999997</v>
      </c>
      <c r="N3" s="96">
        <v>49.612499999999997</v>
      </c>
      <c r="O3" s="64">
        <v>3000</v>
      </c>
      <c r="P3" s="65">
        <f>Table2245789101123[[#This Row],[PEMBULATAN]]*O3</f>
        <v>148837.5</v>
      </c>
    </row>
    <row r="4" spans="1:16" ht="26.25" customHeight="1" x14ac:dyDescent="0.2">
      <c r="A4" s="14"/>
      <c r="B4" s="75"/>
      <c r="C4" s="9" t="s">
        <v>68</v>
      </c>
      <c r="D4" s="76" t="s">
        <v>142</v>
      </c>
      <c r="E4" s="13">
        <v>44502</v>
      </c>
      <c r="F4" s="76" t="s">
        <v>64</v>
      </c>
      <c r="G4" s="13">
        <v>44511</v>
      </c>
      <c r="H4" s="10" t="s">
        <v>65</v>
      </c>
      <c r="I4" s="1">
        <v>75</v>
      </c>
      <c r="J4" s="1">
        <v>63</v>
      </c>
      <c r="K4" s="1">
        <v>42</v>
      </c>
      <c r="L4" s="1">
        <v>31</v>
      </c>
      <c r="M4" s="80">
        <v>49.612499999999997</v>
      </c>
      <c r="N4" s="96">
        <v>49.612499999999997</v>
      </c>
      <c r="O4" s="64">
        <v>3000</v>
      </c>
      <c r="P4" s="65">
        <f>Table2245789101123[[#This Row],[PEMBULATAN]]*O4</f>
        <v>148837.5</v>
      </c>
    </row>
    <row r="5" spans="1:16" ht="26.25" customHeight="1" x14ac:dyDescent="0.2">
      <c r="A5" s="14"/>
      <c r="B5" s="14"/>
      <c r="C5" s="9" t="s">
        <v>69</v>
      </c>
      <c r="D5" s="76" t="s">
        <v>142</v>
      </c>
      <c r="E5" s="13">
        <v>44502</v>
      </c>
      <c r="F5" s="76" t="s">
        <v>64</v>
      </c>
      <c r="G5" s="13">
        <v>44511</v>
      </c>
      <c r="H5" s="10" t="s">
        <v>65</v>
      </c>
      <c r="I5" s="1">
        <v>75</v>
      </c>
      <c r="J5" s="1">
        <v>63</v>
      </c>
      <c r="K5" s="1">
        <v>42</v>
      </c>
      <c r="L5" s="1">
        <v>31</v>
      </c>
      <c r="M5" s="80">
        <v>49.612499999999997</v>
      </c>
      <c r="N5" s="96">
        <v>49.612499999999997</v>
      </c>
      <c r="O5" s="64">
        <v>3000</v>
      </c>
      <c r="P5" s="65">
        <f>Table2245789101123[[#This Row],[PEMBULATAN]]*O5</f>
        <v>148837.5</v>
      </c>
    </row>
    <row r="6" spans="1:16" ht="26.25" customHeight="1" x14ac:dyDescent="0.2">
      <c r="A6" s="14"/>
      <c r="B6" s="14"/>
      <c r="C6" s="73" t="s">
        <v>70</v>
      </c>
      <c r="D6" s="78" t="s">
        <v>142</v>
      </c>
      <c r="E6" s="13">
        <v>44502</v>
      </c>
      <c r="F6" s="76" t="s">
        <v>64</v>
      </c>
      <c r="G6" s="13">
        <v>44511</v>
      </c>
      <c r="H6" s="77" t="s">
        <v>65</v>
      </c>
      <c r="I6" s="16">
        <v>75</v>
      </c>
      <c r="J6" s="16">
        <v>63</v>
      </c>
      <c r="K6" s="16">
        <v>42</v>
      </c>
      <c r="L6" s="16">
        <v>31</v>
      </c>
      <c r="M6" s="81">
        <v>49.612499999999997</v>
      </c>
      <c r="N6" s="96">
        <v>49.612499999999997</v>
      </c>
      <c r="O6" s="64">
        <v>3000</v>
      </c>
      <c r="P6" s="65">
        <f>Table2245789101123[[#This Row],[PEMBULATAN]]*O6</f>
        <v>148837.5</v>
      </c>
    </row>
    <row r="7" spans="1:16" ht="26.25" customHeight="1" x14ac:dyDescent="0.2">
      <c r="A7" s="14"/>
      <c r="B7" s="14"/>
      <c r="C7" s="73" t="s">
        <v>71</v>
      </c>
      <c r="D7" s="78" t="s">
        <v>142</v>
      </c>
      <c r="E7" s="13">
        <v>44502</v>
      </c>
      <c r="F7" s="76" t="s">
        <v>64</v>
      </c>
      <c r="G7" s="13">
        <v>44511</v>
      </c>
      <c r="H7" s="77" t="s">
        <v>65</v>
      </c>
      <c r="I7" s="16">
        <v>77</v>
      </c>
      <c r="J7" s="16">
        <v>61</v>
      </c>
      <c r="K7" s="16">
        <v>110</v>
      </c>
      <c r="L7" s="16">
        <v>11</v>
      </c>
      <c r="M7" s="81">
        <v>129.16749999999999</v>
      </c>
      <c r="N7" s="96">
        <v>129.16749999999999</v>
      </c>
      <c r="O7" s="64">
        <v>3000</v>
      </c>
      <c r="P7" s="65">
        <f>Table2245789101123[[#This Row],[PEMBULATAN]]*O7</f>
        <v>387502.49999999994</v>
      </c>
    </row>
    <row r="8" spans="1:16" ht="22.5" customHeight="1" x14ac:dyDescent="0.2">
      <c r="A8" s="114" t="s">
        <v>30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6"/>
      <c r="M8" s="79">
        <f>SUBTOTAL(109,Table2245789101123[KG VOLUME])</f>
        <v>327.61749999999995</v>
      </c>
      <c r="N8" s="68">
        <f>SUM(N3:N7)</f>
        <v>327.61749999999995</v>
      </c>
      <c r="O8" s="117">
        <f>SUM(P3:P7)</f>
        <v>982852.5</v>
      </c>
      <c r="P8" s="118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98285.25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884567.25</v>
      </c>
    </row>
    <row r="11" spans="1:16" ht="18" customHeight="1" x14ac:dyDescent="0.2">
      <c r="A11" s="11"/>
      <c r="H11" s="63"/>
      <c r="N11" s="62" t="s">
        <v>31</v>
      </c>
      <c r="P11" s="69">
        <f>P10*1%</f>
        <v>8845.6725000000006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17691.345000000001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875721.57750000001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258" priority="2"/>
  </conditionalFormatting>
  <conditionalFormatting sqref="B4">
    <cfRule type="duplicateValues" dxfId="257" priority="1"/>
  </conditionalFormatting>
  <conditionalFormatting sqref="B5:B7">
    <cfRule type="duplicateValues" dxfId="256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402322</v>
      </c>
      <c r="B3" s="74" t="s">
        <v>72</v>
      </c>
      <c r="C3" s="9" t="s">
        <v>73</v>
      </c>
      <c r="D3" s="76" t="s">
        <v>170</v>
      </c>
      <c r="E3" s="13">
        <v>44503</v>
      </c>
      <c r="F3" s="76" t="s">
        <v>64</v>
      </c>
      <c r="G3" s="13">
        <v>44511</v>
      </c>
      <c r="H3" s="10" t="s">
        <v>65</v>
      </c>
      <c r="I3" s="1">
        <v>15</v>
      </c>
      <c r="J3" s="1">
        <v>10</v>
      </c>
      <c r="K3" s="1">
        <v>5</v>
      </c>
      <c r="L3" s="1">
        <v>1</v>
      </c>
      <c r="M3" s="80">
        <v>0.1875</v>
      </c>
      <c r="N3" s="8">
        <v>1</v>
      </c>
      <c r="O3" s="64">
        <v>3000</v>
      </c>
      <c r="P3" s="65">
        <f>Table22457891011234[[#This Row],[PEMBULATAN]]*O3</f>
        <v>3000</v>
      </c>
    </row>
    <row r="4" spans="1:16" ht="26.25" customHeight="1" x14ac:dyDescent="0.2">
      <c r="A4" s="14"/>
      <c r="B4" s="75"/>
      <c r="C4" s="9" t="s">
        <v>74</v>
      </c>
      <c r="D4" s="76" t="s">
        <v>142</v>
      </c>
      <c r="E4" s="13">
        <v>44503</v>
      </c>
      <c r="F4" s="76" t="s">
        <v>64</v>
      </c>
      <c r="G4" s="13">
        <v>44511</v>
      </c>
      <c r="H4" s="10" t="s">
        <v>65</v>
      </c>
      <c r="I4" s="1">
        <v>49</v>
      </c>
      <c r="J4" s="1">
        <v>20</v>
      </c>
      <c r="K4" s="1">
        <v>10</v>
      </c>
      <c r="L4" s="1">
        <v>5</v>
      </c>
      <c r="M4" s="80">
        <v>2.4500000000000002</v>
      </c>
      <c r="N4" s="8">
        <v>5</v>
      </c>
      <c r="O4" s="64">
        <v>3000</v>
      </c>
      <c r="P4" s="65">
        <f>Table22457891011234[[#This Row],[PEMBULATAN]]*O4</f>
        <v>15000</v>
      </c>
    </row>
    <row r="5" spans="1:16" ht="26.25" customHeight="1" x14ac:dyDescent="0.2">
      <c r="A5" s="14"/>
      <c r="B5" s="14"/>
      <c r="C5" s="9" t="s">
        <v>75</v>
      </c>
      <c r="D5" s="76" t="s">
        <v>142</v>
      </c>
      <c r="E5" s="13">
        <v>44503</v>
      </c>
      <c r="F5" s="76" t="s">
        <v>64</v>
      </c>
      <c r="G5" s="13">
        <v>44511</v>
      </c>
      <c r="H5" s="10" t="s">
        <v>65</v>
      </c>
      <c r="I5" s="1">
        <v>12</v>
      </c>
      <c r="J5" s="1">
        <v>11</v>
      </c>
      <c r="K5" s="1">
        <v>15</v>
      </c>
      <c r="L5" s="1">
        <v>5</v>
      </c>
      <c r="M5" s="80">
        <v>0.495</v>
      </c>
      <c r="N5" s="8">
        <v>5</v>
      </c>
      <c r="O5" s="64">
        <v>3000</v>
      </c>
      <c r="P5" s="65">
        <f>Table22457891011234[[#This Row],[PEMBULATAN]]*O5</f>
        <v>15000</v>
      </c>
    </row>
    <row r="6" spans="1:16" ht="22.5" customHeight="1" x14ac:dyDescent="0.2">
      <c r="A6" s="114" t="s">
        <v>30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6"/>
      <c r="M6" s="79">
        <f>SUBTOTAL(109,Table22457891011234[KG VOLUME])</f>
        <v>3.1325000000000003</v>
      </c>
      <c r="N6" s="68">
        <f>SUM(N3:N5)</f>
        <v>11</v>
      </c>
      <c r="O6" s="117">
        <f>SUM(P3:P5)</f>
        <v>33000</v>
      </c>
      <c r="P6" s="118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3300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29700</v>
      </c>
    </row>
    <row r="9" spans="1:16" ht="18" customHeight="1" x14ac:dyDescent="0.2">
      <c r="A9" s="11"/>
      <c r="H9" s="63"/>
      <c r="N9" s="62" t="s">
        <v>31</v>
      </c>
      <c r="P9" s="69">
        <f>P8*1%</f>
        <v>297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594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29403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240" priority="2"/>
  </conditionalFormatting>
  <conditionalFormatting sqref="B4">
    <cfRule type="duplicateValues" dxfId="239" priority="1"/>
  </conditionalFormatting>
  <conditionalFormatting sqref="B5">
    <cfRule type="duplicateValues" dxfId="238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402329</v>
      </c>
      <c r="B3" s="74" t="s">
        <v>76</v>
      </c>
      <c r="C3" s="9" t="s">
        <v>77</v>
      </c>
      <c r="D3" s="76" t="s">
        <v>142</v>
      </c>
      <c r="E3" s="13">
        <v>44504</v>
      </c>
      <c r="F3" s="76" t="s">
        <v>64</v>
      </c>
      <c r="G3" s="13">
        <v>44511</v>
      </c>
      <c r="H3" s="10" t="s">
        <v>65</v>
      </c>
      <c r="I3" s="1">
        <v>42</v>
      </c>
      <c r="J3" s="1">
        <v>25</v>
      </c>
      <c r="K3" s="1">
        <v>12</v>
      </c>
      <c r="L3" s="1">
        <v>4</v>
      </c>
      <c r="M3" s="80">
        <v>3.15</v>
      </c>
      <c r="N3" s="8">
        <v>4</v>
      </c>
      <c r="O3" s="64">
        <v>3000</v>
      </c>
      <c r="P3" s="65">
        <f>Table224578910112345[[#This Row],[PEMBULATAN]]*O3</f>
        <v>12000</v>
      </c>
    </row>
    <row r="4" spans="1:16" ht="26.25" customHeight="1" x14ac:dyDescent="0.2">
      <c r="A4" s="14"/>
      <c r="B4" s="75"/>
      <c r="C4" s="9" t="s">
        <v>78</v>
      </c>
      <c r="D4" s="76" t="s">
        <v>142</v>
      </c>
      <c r="E4" s="13">
        <v>44504</v>
      </c>
      <c r="F4" s="76" t="s">
        <v>64</v>
      </c>
      <c r="G4" s="13">
        <v>44511</v>
      </c>
      <c r="H4" s="10" t="s">
        <v>65</v>
      </c>
      <c r="I4" s="1">
        <v>68</v>
      </c>
      <c r="J4" s="1">
        <v>47</v>
      </c>
      <c r="K4" s="1">
        <v>10</v>
      </c>
      <c r="L4" s="1">
        <v>10</v>
      </c>
      <c r="M4" s="80">
        <v>7.99</v>
      </c>
      <c r="N4" s="8">
        <v>10</v>
      </c>
      <c r="O4" s="64">
        <v>3000</v>
      </c>
      <c r="P4" s="65">
        <f>Table224578910112345[[#This Row],[PEMBULATAN]]*O4</f>
        <v>30000</v>
      </c>
    </row>
    <row r="5" spans="1:16" ht="26.25" customHeight="1" x14ac:dyDescent="0.2">
      <c r="A5" s="14"/>
      <c r="B5" s="14"/>
      <c r="C5" s="9" t="s">
        <v>79</v>
      </c>
      <c r="D5" s="76" t="s">
        <v>142</v>
      </c>
      <c r="E5" s="13">
        <v>44504</v>
      </c>
      <c r="F5" s="76" t="s">
        <v>64</v>
      </c>
      <c r="G5" s="13">
        <v>44511</v>
      </c>
      <c r="H5" s="10" t="s">
        <v>65</v>
      </c>
      <c r="I5" s="1">
        <v>68</v>
      </c>
      <c r="J5" s="1">
        <v>47</v>
      </c>
      <c r="K5" s="1">
        <v>10</v>
      </c>
      <c r="L5" s="1">
        <v>10</v>
      </c>
      <c r="M5" s="80">
        <v>7.99</v>
      </c>
      <c r="N5" s="8">
        <v>10</v>
      </c>
      <c r="O5" s="64">
        <v>3000</v>
      </c>
      <c r="P5" s="65">
        <f>Table224578910112345[[#This Row],[PEMBULATAN]]*O5</f>
        <v>30000</v>
      </c>
    </row>
    <row r="6" spans="1:16" ht="26.25" customHeight="1" x14ac:dyDescent="0.2">
      <c r="A6" s="14"/>
      <c r="B6" s="14"/>
      <c r="C6" s="73" t="s">
        <v>80</v>
      </c>
      <c r="D6" s="78" t="s">
        <v>142</v>
      </c>
      <c r="E6" s="13">
        <v>44504</v>
      </c>
      <c r="F6" s="76" t="s">
        <v>64</v>
      </c>
      <c r="G6" s="13">
        <v>44511</v>
      </c>
      <c r="H6" s="77" t="s">
        <v>65</v>
      </c>
      <c r="I6" s="16">
        <v>35</v>
      </c>
      <c r="J6" s="16">
        <v>35</v>
      </c>
      <c r="K6" s="16">
        <v>18</v>
      </c>
      <c r="L6" s="16">
        <v>12</v>
      </c>
      <c r="M6" s="81">
        <v>5.5125000000000002</v>
      </c>
      <c r="N6" s="72">
        <v>12</v>
      </c>
      <c r="O6" s="64">
        <v>3000</v>
      </c>
      <c r="P6" s="65">
        <f>Table224578910112345[[#This Row],[PEMBULATAN]]*O6</f>
        <v>36000</v>
      </c>
    </row>
    <row r="7" spans="1:16" ht="26.25" customHeight="1" x14ac:dyDescent="0.2">
      <c r="A7" s="14"/>
      <c r="B7" s="14"/>
      <c r="C7" s="73" t="s">
        <v>81</v>
      </c>
      <c r="D7" s="78" t="s">
        <v>142</v>
      </c>
      <c r="E7" s="13">
        <v>44504</v>
      </c>
      <c r="F7" s="76" t="s">
        <v>64</v>
      </c>
      <c r="G7" s="13">
        <v>44511</v>
      </c>
      <c r="H7" s="77" t="s">
        <v>65</v>
      </c>
      <c r="I7" s="16">
        <v>24</v>
      </c>
      <c r="J7" s="16">
        <v>38</v>
      </c>
      <c r="K7" s="16">
        <v>5</v>
      </c>
      <c r="L7" s="16">
        <v>10</v>
      </c>
      <c r="M7" s="81">
        <v>1.1399999999999999</v>
      </c>
      <c r="N7" s="72">
        <v>10</v>
      </c>
      <c r="O7" s="64">
        <v>3000</v>
      </c>
      <c r="P7" s="65">
        <f>Table224578910112345[[#This Row],[PEMBULATAN]]*O7</f>
        <v>30000</v>
      </c>
    </row>
    <row r="8" spans="1:16" ht="26.25" customHeight="1" x14ac:dyDescent="0.2">
      <c r="A8" s="14"/>
      <c r="B8" s="14"/>
      <c r="C8" s="73" t="s">
        <v>82</v>
      </c>
      <c r="D8" s="78" t="s">
        <v>142</v>
      </c>
      <c r="E8" s="13">
        <v>44504</v>
      </c>
      <c r="F8" s="76" t="s">
        <v>64</v>
      </c>
      <c r="G8" s="13">
        <v>44511</v>
      </c>
      <c r="H8" s="77" t="s">
        <v>65</v>
      </c>
      <c r="I8" s="16">
        <v>24</v>
      </c>
      <c r="J8" s="16">
        <v>38</v>
      </c>
      <c r="K8" s="16">
        <v>5</v>
      </c>
      <c r="L8" s="16">
        <v>10</v>
      </c>
      <c r="M8" s="81">
        <v>1.1399999999999999</v>
      </c>
      <c r="N8" s="72">
        <v>10</v>
      </c>
      <c r="O8" s="64">
        <v>3000</v>
      </c>
      <c r="P8" s="65">
        <f>Table224578910112345[[#This Row],[PEMBULATAN]]*O8</f>
        <v>30000</v>
      </c>
    </row>
    <row r="9" spans="1:16" ht="26.25" customHeight="1" x14ac:dyDescent="0.2">
      <c r="A9" s="14"/>
      <c r="B9" s="14"/>
      <c r="C9" s="73" t="s">
        <v>83</v>
      </c>
      <c r="D9" s="78" t="s">
        <v>142</v>
      </c>
      <c r="E9" s="13">
        <v>44504</v>
      </c>
      <c r="F9" s="76" t="s">
        <v>64</v>
      </c>
      <c r="G9" s="13">
        <v>44511</v>
      </c>
      <c r="H9" s="77" t="s">
        <v>65</v>
      </c>
      <c r="I9" s="16">
        <v>42</v>
      </c>
      <c r="J9" s="16">
        <v>33</v>
      </c>
      <c r="K9" s="16">
        <v>30</v>
      </c>
      <c r="L9" s="16">
        <v>9</v>
      </c>
      <c r="M9" s="81">
        <v>10.395</v>
      </c>
      <c r="N9" s="72">
        <v>11</v>
      </c>
      <c r="O9" s="64">
        <v>3000</v>
      </c>
      <c r="P9" s="65">
        <f>Table224578910112345[[#This Row],[PEMBULATAN]]*O9</f>
        <v>33000</v>
      </c>
    </row>
    <row r="10" spans="1:16" ht="26.25" customHeight="1" x14ac:dyDescent="0.2">
      <c r="A10" s="14"/>
      <c r="B10" s="14"/>
      <c r="C10" s="73" t="s">
        <v>84</v>
      </c>
      <c r="D10" s="78" t="s">
        <v>142</v>
      </c>
      <c r="E10" s="13">
        <v>44504</v>
      </c>
      <c r="F10" s="76" t="s">
        <v>64</v>
      </c>
      <c r="G10" s="13">
        <v>44511</v>
      </c>
      <c r="H10" s="77" t="s">
        <v>65</v>
      </c>
      <c r="I10" s="16">
        <v>42</v>
      </c>
      <c r="J10" s="16">
        <v>33</v>
      </c>
      <c r="K10" s="16">
        <v>30</v>
      </c>
      <c r="L10" s="16">
        <v>9</v>
      </c>
      <c r="M10" s="81">
        <v>10.395</v>
      </c>
      <c r="N10" s="72">
        <v>11</v>
      </c>
      <c r="O10" s="64">
        <v>3000</v>
      </c>
      <c r="P10" s="65">
        <f>Table224578910112345[[#This Row],[PEMBULATAN]]*O10</f>
        <v>33000</v>
      </c>
    </row>
    <row r="11" spans="1:16" ht="22.5" customHeight="1" x14ac:dyDescent="0.2">
      <c r="A11" s="114" t="s">
        <v>30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6"/>
      <c r="M11" s="79">
        <f>SUBTOTAL(109,Table224578910112345[KG VOLUME])</f>
        <v>47.712500000000006</v>
      </c>
      <c r="N11" s="68">
        <f>SUM(N3:N10)</f>
        <v>78</v>
      </c>
      <c r="O11" s="117">
        <f>SUM(P3:P10)</f>
        <v>234000</v>
      </c>
      <c r="P11" s="118"/>
    </row>
    <row r="12" spans="1:16" ht="18" customHeight="1" x14ac:dyDescent="0.2">
      <c r="A12" s="86"/>
      <c r="B12" s="56" t="s">
        <v>42</v>
      </c>
      <c r="C12" s="55"/>
      <c r="D12" s="57" t="s">
        <v>43</v>
      </c>
      <c r="E12" s="86"/>
      <c r="F12" s="86"/>
      <c r="G12" s="86"/>
      <c r="H12" s="86"/>
      <c r="I12" s="86"/>
      <c r="J12" s="86"/>
      <c r="K12" s="86"/>
      <c r="L12" s="86"/>
      <c r="M12" s="87"/>
      <c r="N12" s="88" t="s">
        <v>51</v>
      </c>
      <c r="O12" s="89"/>
      <c r="P12" s="89">
        <f>O11*10%</f>
        <v>23400</v>
      </c>
    </row>
    <row r="13" spans="1:16" ht="18" customHeight="1" thickBot="1" x14ac:dyDescent="0.25">
      <c r="A13" s="86"/>
      <c r="B13" s="56"/>
      <c r="C13" s="55"/>
      <c r="D13" s="57"/>
      <c r="E13" s="86"/>
      <c r="F13" s="86"/>
      <c r="G13" s="86"/>
      <c r="H13" s="86"/>
      <c r="I13" s="86"/>
      <c r="J13" s="86"/>
      <c r="K13" s="86"/>
      <c r="L13" s="86"/>
      <c r="M13" s="87"/>
      <c r="N13" s="90" t="s">
        <v>52</v>
      </c>
      <c r="O13" s="91"/>
      <c r="P13" s="91">
        <f>O11-P12</f>
        <v>210600</v>
      </c>
    </row>
    <row r="14" spans="1:16" ht="18" customHeight="1" x14ac:dyDescent="0.2">
      <c r="A14" s="11"/>
      <c r="H14" s="63"/>
      <c r="N14" s="62" t="s">
        <v>31</v>
      </c>
      <c r="P14" s="69">
        <f>P13*1%</f>
        <v>2106</v>
      </c>
    </row>
    <row r="15" spans="1:16" ht="18" customHeight="1" thickBot="1" x14ac:dyDescent="0.25">
      <c r="A15" s="11"/>
      <c r="H15" s="63"/>
      <c r="N15" s="62" t="s">
        <v>53</v>
      </c>
      <c r="P15" s="71">
        <f>P13*2%</f>
        <v>4212</v>
      </c>
    </row>
    <row r="16" spans="1:16" ht="18" customHeight="1" x14ac:dyDescent="0.2">
      <c r="A16" s="11"/>
      <c r="H16" s="63"/>
      <c r="N16" s="66" t="s">
        <v>32</v>
      </c>
      <c r="O16" s="67"/>
      <c r="P16" s="70">
        <f>P13+P14-P15</f>
        <v>208494</v>
      </c>
    </row>
    <row r="18" spans="1:16" x14ac:dyDescent="0.2">
      <c r="A18" s="11"/>
      <c r="H18" s="63"/>
      <c r="P18" s="71"/>
    </row>
    <row r="19" spans="1:16" x14ac:dyDescent="0.2">
      <c r="A19" s="11"/>
      <c r="H19" s="63"/>
      <c r="O19" s="58"/>
      <c r="P19" s="71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222" priority="2"/>
  </conditionalFormatting>
  <conditionalFormatting sqref="B4">
    <cfRule type="duplicateValues" dxfId="221" priority="1"/>
  </conditionalFormatting>
  <conditionalFormatting sqref="B5:B10">
    <cfRule type="duplicateValues" dxfId="220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>
        <v>402333</v>
      </c>
      <c r="B3" s="74" t="s">
        <v>85</v>
      </c>
      <c r="C3" s="9" t="s">
        <v>86</v>
      </c>
      <c r="D3" s="76" t="s">
        <v>173</v>
      </c>
      <c r="E3" s="13">
        <v>44505</v>
      </c>
      <c r="F3" s="76" t="s">
        <v>64</v>
      </c>
      <c r="G3" s="13">
        <v>44511</v>
      </c>
      <c r="H3" s="10" t="s">
        <v>65</v>
      </c>
      <c r="I3" s="1">
        <v>48</v>
      </c>
      <c r="J3" s="1">
        <v>44</v>
      </c>
      <c r="K3" s="1">
        <v>37</v>
      </c>
      <c r="L3" s="1">
        <v>11</v>
      </c>
      <c r="M3" s="80">
        <v>19.536000000000001</v>
      </c>
      <c r="N3" s="96">
        <v>19.536000000000001</v>
      </c>
      <c r="O3" s="64">
        <v>3000</v>
      </c>
      <c r="P3" s="65">
        <f>Table2245789101123456[[#This Row],[PEMBULATAN]]*O3</f>
        <v>58608.000000000007</v>
      </c>
    </row>
    <row r="4" spans="1:16" ht="24" customHeight="1" x14ac:dyDescent="0.2">
      <c r="A4" s="14"/>
      <c r="B4" s="75"/>
      <c r="C4" s="9" t="s">
        <v>87</v>
      </c>
      <c r="D4" s="76" t="s">
        <v>173</v>
      </c>
      <c r="E4" s="13">
        <v>44505</v>
      </c>
      <c r="F4" s="76" t="s">
        <v>64</v>
      </c>
      <c r="G4" s="13">
        <v>44511</v>
      </c>
      <c r="H4" s="10" t="s">
        <v>65</v>
      </c>
      <c r="I4" s="1">
        <v>48</v>
      </c>
      <c r="J4" s="1">
        <v>44</v>
      </c>
      <c r="K4" s="1">
        <v>37</v>
      </c>
      <c r="L4" s="1">
        <v>11</v>
      </c>
      <c r="M4" s="80">
        <v>19.536000000000001</v>
      </c>
      <c r="N4" s="96">
        <v>19.536000000000001</v>
      </c>
      <c r="O4" s="64">
        <v>3000</v>
      </c>
      <c r="P4" s="65">
        <f>Table2245789101123456[[#This Row],[PEMBULATAN]]*O4</f>
        <v>58608.000000000007</v>
      </c>
    </row>
    <row r="5" spans="1:16" ht="24" customHeight="1" x14ac:dyDescent="0.2">
      <c r="A5" s="14"/>
      <c r="B5" s="14"/>
      <c r="C5" s="9" t="s">
        <v>88</v>
      </c>
      <c r="D5" s="76" t="s">
        <v>173</v>
      </c>
      <c r="E5" s="13">
        <v>44505</v>
      </c>
      <c r="F5" s="76" t="s">
        <v>64</v>
      </c>
      <c r="G5" s="13">
        <v>44511</v>
      </c>
      <c r="H5" s="10" t="s">
        <v>65</v>
      </c>
      <c r="I5" s="1">
        <v>46</v>
      </c>
      <c r="J5" s="1">
        <v>54</v>
      </c>
      <c r="K5" s="1">
        <v>14</v>
      </c>
      <c r="L5" s="1">
        <v>14</v>
      </c>
      <c r="M5" s="80">
        <v>8.6940000000000008</v>
      </c>
      <c r="N5" s="96">
        <v>14</v>
      </c>
      <c r="O5" s="64">
        <v>3000</v>
      </c>
      <c r="P5" s="65">
        <f>Table2245789101123456[[#This Row],[PEMBULATAN]]*O5</f>
        <v>42000</v>
      </c>
    </row>
    <row r="6" spans="1:16" ht="24" customHeight="1" x14ac:dyDescent="0.2">
      <c r="A6" s="14"/>
      <c r="B6" s="14"/>
      <c r="C6" s="73" t="s">
        <v>89</v>
      </c>
      <c r="D6" s="76" t="s">
        <v>173</v>
      </c>
      <c r="E6" s="13">
        <v>44505</v>
      </c>
      <c r="F6" s="76" t="s">
        <v>64</v>
      </c>
      <c r="G6" s="13">
        <v>44511</v>
      </c>
      <c r="H6" s="77" t="s">
        <v>65</v>
      </c>
      <c r="I6" s="16">
        <v>32</v>
      </c>
      <c r="J6" s="16">
        <v>16</v>
      </c>
      <c r="K6" s="16">
        <v>15</v>
      </c>
      <c r="L6" s="16">
        <v>3</v>
      </c>
      <c r="M6" s="81">
        <v>1.92</v>
      </c>
      <c r="N6" s="96">
        <v>3</v>
      </c>
      <c r="O6" s="64">
        <v>3000</v>
      </c>
      <c r="P6" s="65">
        <f>Table2245789101123456[[#This Row],[PEMBULATAN]]*O6</f>
        <v>9000</v>
      </c>
    </row>
    <row r="7" spans="1:16" ht="24" customHeight="1" x14ac:dyDescent="0.2">
      <c r="A7" s="14"/>
      <c r="B7" s="14"/>
      <c r="C7" s="73" t="s">
        <v>90</v>
      </c>
      <c r="D7" s="76" t="s">
        <v>173</v>
      </c>
      <c r="E7" s="13">
        <v>44505</v>
      </c>
      <c r="F7" s="76" t="s">
        <v>64</v>
      </c>
      <c r="G7" s="13">
        <v>44511</v>
      </c>
      <c r="H7" s="77" t="s">
        <v>65</v>
      </c>
      <c r="I7" s="16">
        <v>72</v>
      </c>
      <c r="J7" s="16">
        <v>48</v>
      </c>
      <c r="K7" s="16">
        <v>40</v>
      </c>
      <c r="L7" s="16">
        <v>14</v>
      </c>
      <c r="M7" s="81">
        <v>34.56</v>
      </c>
      <c r="N7" s="96">
        <v>34.56</v>
      </c>
      <c r="O7" s="64">
        <v>3000</v>
      </c>
      <c r="P7" s="65">
        <f>Table2245789101123456[[#This Row],[PEMBULATAN]]*O7</f>
        <v>103680</v>
      </c>
    </row>
    <row r="8" spans="1:16" ht="24" customHeight="1" x14ac:dyDescent="0.2">
      <c r="A8" s="14"/>
      <c r="B8" s="14"/>
      <c r="C8" s="73" t="s">
        <v>91</v>
      </c>
      <c r="D8" s="76" t="s">
        <v>173</v>
      </c>
      <c r="E8" s="13">
        <v>44505</v>
      </c>
      <c r="F8" s="76" t="s">
        <v>64</v>
      </c>
      <c r="G8" s="13">
        <v>44511</v>
      </c>
      <c r="H8" s="77" t="s">
        <v>65</v>
      </c>
      <c r="I8" s="16">
        <v>77</v>
      </c>
      <c r="J8" s="16">
        <v>50</v>
      </c>
      <c r="K8" s="16">
        <v>40</v>
      </c>
      <c r="L8" s="16">
        <v>3</v>
      </c>
      <c r="M8" s="81">
        <v>38.5</v>
      </c>
      <c r="N8" s="96">
        <v>38.5</v>
      </c>
      <c r="O8" s="64">
        <v>3000</v>
      </c>
      <c r="P8" s="65">
        <f>Table2245789101123456[[#This Row],[PEMBULATAN]]*O8</f>
        <v>115500</v>
      </c>
    </row>
    <row r="9" spans="1:16" ht="24" customHeight="1" x14ac:dyDescent="0.2">
      <c r="A9" s="14"/>
      <c r="B9" s="14"/>
      <c r="C9" s="73" t="s">
        <v>92</v>
      </c>
      <c r="D9" s="76" t="s">
        <v>173</v>
      </c>
      <c r="E9" s="13">
        <v>44505</v>
      </c>
      <c r="F9" s="76" t="s">
        <v>64</v>
      </c>
      <c r="G9" s="13">
        <v>44511</v>
      </c>
      <c r="H9" s="77" t="s">
        <v>65</v>
      </c>
      <c r="I9" s="16">
        <v>46</v>
      </c>
      <c r="J9" s="16">
        <v>54</v>
      </c>
      <c r="K9" s="16">
        <v>14</v>
      </c>
      <c r="L9" s="16">
        <v>14</v>
      </c>
      <c r="M9" s="81">
        <v>8.6940000000000008</v>
      </c>
      <c r="N9" s="96">
        <v>14</v>
      </c>
      <c r="O9" s="64">
        <v>3000</v>
      </c>
      <c r="P9" s="65">
        <f>Table2245789101123456[[#This Row],[PEMBULATAN]]*O9</f>
        <v>42000</v>
      </c>
    </row>
    <row r="10" spans="1:16" ht="24" customHeight="1" x14ac:dyDescent="0.2">
      <c r="A10" s="14"/>
      <c r="B10" s="14"/>
      <c r="C10" s="73" t="s">
        <v>93</v>
      </c>
      <c r="D10" s="76" t="s">
        <v>173</v>
      </c>
      <c r="E10" s="13">
        <v>44505</v>
      </c>
      <c r="F10" s="76" t="s">
        <v>64</v>
      </c>
      <c r="G10" s="13">
        <v>44511</v>
      </c>
      <c r="H10" s="77" t="s">
        <v>65</v>
      </c>
      <c r="I10" s="16">
        <v>52</v>
      </c>
      <c r="J10" s="16">
        <v>46</v>
      </c>
      <c r="K10" s="16">
        <v>13</v>
      </c>
      <c r="L10" s="16">
        <v>14</v>
      </c>
      <c r="M10" s="81">
        <v>7.774</v>
      </c>
      <c r="N10" s="96">
        <v>14</v>
      </c>
      <c r="O10" s="64">
        <v>3000</v>
      </c>
      <c r="P10" s="65">
        <f>Table2245789101123456[[#This Row],[PEMBULATAN]]*O10</f>
        <v>42000</v>
      </c>
    </row>
    <row r="11" spans="1:16" ht="24" customHeight="1" x14ac:dyDescent="0.2">
      <c r="A11" s="14"/>
      <c r="B11" s="14"/>
      <c r="C11" s="73" t="s">
        <v>94</v>
      </c>
      <c r="D11" s="76" t="s">
        <v>173</v>
      </c>
      <c r="E11" s="13">
        <v>44505</v>
      </c>
      <c r="F11" s="76" t="s">
        <v>64</v>
      </c>
      <c r="G11" s="13">
        <v>44511</v>
      </c>
      <c r="H11" s="77" t="s">
        <v>65</v>
      </c>
      <c r="I11" s="16">
        <v>52</v>
      </c>
      <c r="J11" s="16">
        <v>46</v>
      </c>
      <c r="K11" s="16">
        <v>13</v>
      </c>
      <c r="L11" s="16">
        <v>14</v>
      </c>
      <c r="M11" s="81">
        <v>7.774</v>
      </c>
      <c r="N11" s="96">
        <v>14</v>
      </c>
      <c r="O11" s="64">
        <v>3000</v>
      </c>
      <c r="P11" s="65">
        <f>Table2245789101123456[[#This Row],[PEMBULATAN]]*O11</f>
        <v>42000</v>
      </c>
    </row>
    <row r="12" spans="1:16" ht="24" customHeight="1" x14ac:dyDescent="0.2">
      <c r="A12" s="14"/>
      <c r="B12" s="14"/>
      <c r="C12" s="73" t="s">
        <v>95</v>
      </c>
      <c r="D12" s="76" t="s">
        <v>173</v>
      </c>
      <c r="E12" s="13">
        <v>44505</v>
      </c>
      <c r="F12" s="76" t="s">
        <v>64</v>
      </c>
      <c r="G12" s="13">
        <v>44511</v>
      </c>
      <c r="H12" s="77" t="s">
        <v>65</v>
      </c>
      <c r="I12" s="16">
        <v>52</v>
      </c>
      <c r="J12" s="16">
        <v>46</v>
      </c>
      <c r="K12" s="16">
        <v>13</v>
      </c>
      <c r="L12" s="16">
        <v>14</v>
      </c>
      <c r="M12" s="81">
        <v>7.774</v>
      </c>
      <c r="N12" s="96">
        <v>14</v>
      </c>
      <c r="O12" s="64">
        <v>3000</v>
      </c>
      <c r="P12" s="65">
        <f>Table2245789101123456[[#This Row],[PEMBULATAN]]*O12</f>
        <v>42000</v>
      </c>
    </row>
    <row r="13" spans="1:16" ht="24" customHeight="1" x14ac:dyDescent="0.2">
      <c r="A13" s="14"/>
      <c r="B13" s="14"/>
      <c r="C13" s="73" t="s">
        <v>96</v>
      </c>
      <c r="D13" s="76" t="s">
        <v>173</v>
      </c>
      <c r="E13" s="13">
        <v>44505</v>
      </c>
      <c r="F13" s="76" t="s">
        <v>64</v>
      </c>
      <c r="G13" s="13">
        <v>44511</v>
      </c>
      <c r="H13" s="77" t="s">
        <v>65</v>
      </c>
      <c r="I13" s="16">
        <v>52</v>
      </c>
      <c r="J13" s="16">
        <v>46</v>
      </c>
      <c r="K13" s="16">
        <v>13</v>
      </c>
      <c r="L13" s="16">
        <v>14</v>
      </c>
      <c r="M13" s="81">
        <v>7.774</v>
      </c>
      <c r="N13" s="96">
        <v>14</v>
      </c>
      <c r="O13" s="64">
        <v>3000</v>
      </c>
      <c r="P13" s="65">
        <f>Table2245789101123456[[#This Row],[PEMBULATAN]]*O13</f>
        <v>42000</v>
      </c>
    </row>
    <row r="14" spans="1:16" ht="24" customHeight="1" x14ac:dyDescent="0.2">
      <c r="A14" s="14"/>
      <c r="B14" s="14"/>
      <c r="C14" s="73" t="s">
        <v>97</v>
      </c>
      <c r="D14" s="76" t="s">
        <v>173</v>
      </c>
      <c r="E14" s="13">
        <v>44505</v>
      </c>
      <c r="F14" s="76" t="s">
        <v>64</v>
      </c>
      <c r="G14" s="13">
        <v>44511</v>
      </c>
      <c r="H14" s="77" t="s">
        <v>65</v>
      </c>
      <c r="I14" s="16">
        <v>46</v>
      </c>
      <c r="J14" s="16">
        <v>54</v>
      </c>
      <c r="K14" s="16">
        <v>14</v>
      </c>
      <c r="L14" s="16">
        <v>14</v>
      </c>
      <c r="M14" s="81">
        <v>8.6940000000000008</v>
      </c>
      <c r="N14" s="96">
        <v>14</v>
      </c>
      <c r="O14" s="64">
        <v>3000</v>
      </c>
      <c r="P14" s="65">
        <f>Table2245789101123456[[#This Row],[PEMBULATAN]]*O14</f>
        <v>42000</v>
      </c>
    </row>
    <row r="15" spans="1:16" ht="24" customHeight="1" x14ac:dyDescent="0.2">
      <c r="A15" s="14"/>
      <c r="B15" s="14"/>
      <c r="C15" s="73" t="s">
        <v>98</v>
      </c>
      <c r="D15" s="76" t="s">
        <v>173</v>
      </c>
      <c r="E15" s="13">
        <v>44505</v>
      </c>
      <c r="F15" s="76" t="s">
        <v>64</v>
      </c>
      <c r="G15" s="13">
        <v>44511</v>
      </c>
      <c r="H15" s="77" t="s">
        <v>65</v>
      </c>
      <c r="I15" s="16">
        <v>46</v>
      </c>
      <c r="J15" s="16">
        <v>54</v>
      </c>
      <c r="K15" s="16">
        <v>14</v>
      </c>
      <c r="L15" s="16">
        <v>14</v>
      </c>
      <c r="M15" s="81">
        <v>8.6940000000000008</v>
      </c>
      <c r="N15" s="96">
        <v>14</v>
      </c>
      <c r="O15" s="64">
        <v>3000</v>
      </c>
      <c r="P15" s="65">
        <f>Table2245789101123456[[#This Row],[PEMBULATAN]]*O15</f>
        <v>42000</v>
      </c>
    </row>
    <row r="16" spans="1:16" ht="24" customHeight="1" x14ac:dyDescent="0.2">
      <c r="A16" s="14"/>
      <c r="B16" s="14"/>
      <c r="C16" s="73" t="s">
        <v>99</v>
      </c>
      <c r="D16" s="76" t="s">
        <v>173</v>
      </c>
      <c r="E16" s="13">
        <v>44505</v>
      </c>
      <c r="F16" s="76" t="s">
        <v>64</v>
      </c>
      <c r="G16" s="13">
        <v>44511</v>
      </c>
      <c r="H16" s="77" t="s">
        <v>65</v>
      </c>
      <c r="I16" s="16">
        <v>46</v>
      </c>
      <c r="J16" s="16">
        <v>54</v>
      </c>
      <c r="K16" s="16">
        <v>14</v>
      </c>
      <c r="L16" s="16">
        <v>14</v>
      </c>
      <c r="M16" s="81">
        <v>8.6940000000000008</v>
      </c>
      <c r="N16" s="96">
        <v>14</v>
      </c>
      <c r="O16" s="64">
        <v>3000</v>
      </c>
      <c r="P16" s="65">
        <f>Table2245789101123456[[#This Row],[PEMBULATAN]]*O16</f>
        <v>42000</v>
      </c>
    </row>
    <row r="17" spans="1:16" ht="24" customHeight="1" x14ac:dyDescent="0.2">
      <c r="A17" s="14"/>
      <c r="B17" s="14"/>
      <c r="C17" s="73" t="s">
        <v>100</v>
      </c>
      <c r="D17" s="76" t="s">
        <v>173</v>
      </c>
      <c r="E17" s="13">
        <v>44505</v>
      </c>
      <c r="F17" s="76" t="s">
        <v>64</v>
      </c>
      <c r="G17" s="13">
        <v>44511</v>
      </c>
      <c r="H17" s="77" t="s">
        <v>65</v>
      </c>
      <c r="I17" s="16">
        <v>46</v>
      </c>
      <c r="J17" s="16">
        <v>54</v>
      </c>
      <c r="K17" s="16">
        <v>14</v>
      </c>
      <c r="L17" s="16">
        <v>14</v>
      </c>
      <c r="M17" s="81">
        <v>8.6940000000000008</v>
      </c>
      <c r="N17" s="96">
        <v>14</v>
      </c>
      <c r="O17" s="64">
        <v>3000</v>
      </c>
      <c r="P17" s="65">
        <f>Table2245789101123456[[#This Row],[PEMBULATAN]]*O17</f>
        <v>42000</v>
      </c>
    </row>
    <row r="18" spans="1:16" ht="24" customHeight="1" x14ac:dyDescent="0.2">
      <c r="A18" s="14"/>
      <c r="B18" s="14"/>
      <c r="C18" s="73" t="s">
        <v>101</v>
      </c>
      <c r="D18" s="76" t="s">
        <v>173</v>
      </c>
      <c r="E18" s="13">
        <v>44505</v>
      </c>
      <c r="F18" s="76" t="s">
        <v>64</v>
      </c>
      <c r="G18" s="13">
        <v>44511</v>
      </c>
      <c r="H18" s="77" t="s">
        <v>65</v>
      </c>
      <c r="I18" s="16">
        <v>46</v>
      </c>
      <c r="J18" s="16">
        <v>53</v>
      </c>
      <c r="K18" s="16">
        <v>14</v>
      </c>
      <c r="L18" s="16">
        <v>14</v>
      </c>
      <c r="M18" s="81">
        <v>8.5329999999999995</v>
      </c>
      <c r="N18" s="96">
        <v>14</v>
      </c>
      <c r="O18" s="64">
        <v>3000</v>
      </c>
      <c r="P18" s="65">
        <f>Table2245789101123456[[#This Row],[PEMBULATAN]]*O18</f>
        <v>42000</v>
      </c>
    </row>
    <row r="19" spans="1:16" ht="24" customHeight="1" x14ac:dyDescent="0.2">
      <c r="A19" s="14"/>
      <c r="B19" s="14"/>
      <c r="C19" s="73" t="s">
        <v>102</v>
      </c>
      <c r="D19" s="76" t="s">
        <v>173</v>
      </c>
      <c r="E19" s="13">
        <v>44505</v>
      </c>
      <c r="F19" s="76" t="s">
        <v>64</v>
      </c>
      <c r="G19" s="13">
        <v>44511</v>
      </c>
      <c r="H19" s="77" t="s">
        <v>65</v>
      </c>
      <c r="I19" s="16">
        <v>48</v>
      </c>
      <c r="J19" s="16">
        <v>33</v>
      </c>
      <c r="K19" s="16">
        <v>33</v>
      </c>
      <c r="L19" s="16">
        <v>3</v>
      </c>
      <c r="M19" s="81">
        <v>13.068</v>
      </c>
      <c r="N19" s="96">
        <v>13.068</v>
      </c>
      <c r="O19" s="64">
        <v>3000</v>
      </c>
      <c r="P19" s="65">
        <f>Table2245789101123456[[#This Row],[PEMBULATAN]]*O19</f>
        <v>39204</v>
      </c>
    </row>
    <row r="20" spans="1:16" ht="24" customHeight="1" x14ac:dyDescent="0.2">
      <c r="A20" s="14"/>
      <c r="B20" s="14"/>
      <c r="C20" s="73" t="s">
        <v>103</v>
      </c>
      <c r="D20" s="78" t="s">
        <v>173</v>
      </c>
      <c r="E20" s="13">
        <v>44505</v>
      </c>
      <c r="F20" s="76" t="s">
        <v>64</v>
      </c>
      <c r="G20" s="13">
        <v>44511</v>
      </c>
      <c r="H20" s="77" t="s">
        <v>65</v>
      </c>
      <c r="I20" s="16">
        <v>150</v>
      </c>
      <c r="J20" s="16">
        <v>64</v>
      </c>
      <c r="K20" s="16">
        <v>10</v>
      </c>
      <c r="L20" s="16">
        <v>7</v>
      </c>
      <c r="M20" s="81">
        <v>24</v>
      </c>
      <c r="N20" s="96">
        <v>24</v>
      </c>
      <c r="O20" s="64">
        <v>3000</v>
      </c>
      <c r="P20" s="65">
        <f>Table2245789101123456[[#This Row],[PEMBULATAN]]*O20</f>
        <v>72000</v>
      </c>
    </row>
    <row r="21" spans="1:16" ht="24" customHeight="1" x14ac:dyDescent="0.2">
      <c r="A21" s="14"/>
      <c r="B21" s="14"/>
      <c r="C21" s="73" t="s">
        <v>104</v>
      </c>
      <c r="D21" s="78" t="s">
        <v>173</v>
      </c>
      <c r="E21" s="13">
        <v>44505</v>
      </c>
      <c r="F21" s="76" t="s">
        <v>64</v>
      </c>
      <c r="G21" s="13">
        <v>44511</v>
      </c>
      <c r="H21" s="77" t="s">
        <v>65</v>
      </c>
      <c r="I21" s="16">
        <v>150</v>
      </c>
      <c r="J21" s="16">
        <v>64</v>
      </c>
      <c r="K21" s="16">
        <v>10</v>
      </c>
      <c r="L21" s="16">
        <v>7</v>
      </c>
      <c r="M21" s="81">
        <v>24</v>
      </c>
      <c r="N21" s="96">
        <v>24</v>
      </c>
      <c r="O21" s="64">
        <v>3000</v>
      </c>
      <c r="P21" s="65">
        <f>Table2245789101123456[[#This Row],[PEMBULATAN]]*O21</f>
        <v>72000</v>
      </c>
    </row>
    <row r="22" spans="1:16" ht="24" customHeight="1" x14ac:dyDescent="0.2">
      <c r="A22" s="14"/>
      <c r="B22" s="14"/>
      <c r="C22" s="73" t="s">
        <v>105</v>
      </c>
      <c r="D22" s="78" t="s">
        <v>173</v>
      </c>
      <c r="E22" s="13">
        <v>44505</v>
      </c>
      <c r="F22" s="76" t="s">
        <v>64</v>
      </c>
      <c r="G22" s="13">
        <v>44511</v>
      </c>
      <c r="H22" s="77" t="s">
        <v>65</v>
      </c>
      <c r="I22" s="16">
        <v>150</v>
      </c>
      <c r="J22" s="16">
        <v>64</v>
      </c>
      <c r="K22" s="16">
        <v>10</v>
      </c>
      <c r="L22" s="16">
        <v>7</v>
      </c>
      <c r="M22" s="81">
        <v>24</v>
      </c>
      <c r="N22" s="96">
        <v>24</v>
      </c>
      <c r="O22" s="64">
        <v>3000</v>
      </c>
      <c r="P22" s="65">
        <f>Table2245789101123456[[#This Row],[PEMBULATAN]]*O22</f>
        <v>72000</v>
      </c>
    </row>
    <row r="23" spans="1:16" ht="24" customHeight="1" x14ac:dyDescent="0.2">
      <c r="A23" s="14"/>
      <c r="B23" s="14"/>
      <c r="C23" s="73" t="s">
        <v>106</v>
      </c>
      <c r="D23" s="78" t="s">
        <v>173</v>
      </c>
      <c r="E23" s="13">
        <v>44505</v>
      </c>
      <c r="F23" s="76" t="s">
        <v>64</v>
      </c>
      <c r="G23" s="13">
        <v>44511</v>
      </c>
      <c r="H23" s="77" t="s">
        <v>65</v>
      </c>
      <c r="I23" s="16">
        <v>150</v>
      </c>
      <c r="J23" s="16">
        <v>64</v>
      </c>
      <c r="K23" s="16">
        <v>10</v>
      </c>
      <c r="L23" s="16">
        <v>7</v>
      </c>
      <c r="M23" s="81">
        <v>24</v>
      </c>
      <c r="N23" s="96">
        <v>24</v>
      </c>
      <c r="O23" s="64">
        <v>3000</v>
      </c>
      <c r="P23" s="65">
        <f>Table2245789101123456[[#This Row],[PEMBULATAN]]*O23</f>
        <v>72000</v>
      </c>
    </row>
    <row r="24" spans="1:16" ht="24" customHeight="1" x14ac:dyDescent="0.2">
      <c r="A24" s="14"/>
      <c r="B24" s="14"/>
      <c r="C24" s="73" t="s">
        <v>107</v>
      </c>
      <c r="D24" s="78" t="s">
        <v>173</v>
      </c>
      <c r="E24" s="13">
        <v>44505</v>
      </c>
      <c r="F24" s="76" t="s">
        <v>64</v>
      </c>
      <c r="G24" s="13">
        <v>44511</v>
      </c>
      <c r="H24" s="77" t="s">
        <v>65</v>
      </c>
      <c r="I24" s="16">
        <v>150</v>
      </c>
      <c r="J24" s="16">
        <v>64</v>
      </c>
      <c r="K24" s="16">
        <v>10</v>
      </c>
      <c r="L24" s="16">
        <v>7</v>
      </c>
      <c r="M24" s="81">
        <v>24</v>
      </c>
      <c r="N24" s="96">
        <v>24</v>
      </c>
      <c r="O24" s="64">
        <v>3000</v>
      </c>
      <c r="P24" s="65">
        <f>Table2245789101123456[[#This Row],[PEMBULATAN]]*O24</f>
        <v>72000</v>
      </c>
    </row>
    <row r="25" spans="1:16" ht="22.5" customHeight="1" x14ac:dyDescent="0.2">
      <c r="A25" s="114" t="s">
        <v>30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6"/>
      <c r="M25" s="79">
        <f>SUBTOTAL(109,Table2245789101123456[KG VOLUME])</f>
        <v>338.91299999999995</v>
      </c>
      <c r="N25" s="68">
        <f>SUM(N3:N24)</f>
        <v>402.2</v>
      </c>
      <c r="O25" s="117">
        <f>SUM(P3:P24)</f>
        <v>1206600</v>
      </c>
      <c r="P25" s="118"/>
    </row>
    <row r="26" spans="1:16" ht="18" customHeight="1" x14ac:dyDescent="0.2">
      <c r="A26" s="86"/>
      <c r="B26" s="56" t="s">
        <v>42</v>
      </c>
      <c r="C26" s="55"/>
      <c r="D26" s="57" t="s">
        <v>43</v>
      </c>
      <c r="E26" s="86"/>
      <c r="F26" s="86"/>
      <c r="G26" s="86"/>
      <c r="H26" s="86"/>
      <c r="I26" s="86"/>
      <c r="J26" s="86"/>
      <c r="K26" s="86"/>
      <c r="L26" s="86"/>
      <c r="M26" s="87"/>
      <c r="N26" s="88" t="s">
        <v>51</v>
      </c>
      <c r="O26" s="89"/>
      <c r="P26" s="89">
        <f>O25*10%</f>
        <v>120660</v>
      </c>
    </row>
    <row r="27" spans="1:16" ht="18" customHeight="1" thickBot="1" x14ac:dyDescent="0.25">
      <c r="A27" s="86"/>
      <c r="B27" s="56"/>
      <c r="C27" s="55"/>
      <c r="D27" s="57"/>
      <c r="E27" s="86"/>
      <c r="F27" s="86"/>
      <c r="G27" s="86"/>
      <c r="H27" s="86"/>
      <c r="I27" s="86"/>
      <c r="J27" s="86"/>
      <c r="K27" s="86"/>
      <c r="L27" s="86"/>
      <c r="M27" s="87"/>
      <c r="N27" s="90" t="s">
        <v>52</v>
      </c>
      <c r="O27" s="91"/>
      <c r="P27" s="91">
        <f>O25-P26</f>
        <v>1085940</v>
      </c>
    </row>
    <row r="28" spans="1:16" ht="18" customHeight="1" x14ac:dyDescent="0.2">
      <c r="A28" s="11"/>
      <c r="H28" s="63"/>
      <c r="N28" s="62" t="s">
        <v>31</v>
      </c>
      <c r="P28" s="69">
        <f>P27*1%</f>
        <v>10859.4</v>
      </c>
    </row>
    <row r="29" spans="1:16" ht="18" customHeight="1" thickBot="1" x14ac:dyDescent="0.25">
      <c r="A29" s="11"/>
      <c r="H29" s="63"/>
      <c r="N29" s="62" t="s">
        <v>53</v>
      </c>
      <c r="P29" s="71">
        <f>P27*2%</f>
        <v>21718.799999999999</v>
      </c>
    </row>
    <row r="30" spans="1:16" ht="18" customHeight="1" x14ac:dyDescent="0.2">
      <c r="A30" s="11"/>
      <c r="H30" s="63"/>
      <c r="N30" s="66" t="s">
        <v>32</v>
      </c>
      <c r="O30" s="67"/>
      <c r="P30" s="70">
        <f>P27+P28-P29</f>
        <v>1075080.5999999999</v>
      </c>
    </row>
    <row r="32" spans="1:16" x14ac:dyDescent="0.2">
      <c r="A32" s="11"/>
      <c r="H32" s="63"/>
      <c r="P32" s="71"/>
    </row>
    <row r="33" spans="1:16" x14ac:dyDescent="0.2">
      <c r="A33" s="11"/>
      <c r="H33" s="63"/>
      <c r="O33" s="58"/>
      <c r="P33" s="71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204" priority="2"/>
  </conditionalFormatting>
  <conditionalFormatting sqref="B4">
    <cfRule type="duplicateValues" dxfId="203" priority="1"/>
  </conditionalFormatting>
  <conditionalFormatting sqref="B5:B24">
    <cfRule type="duplicateValues" dxfId="202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"/>
  <cols>
    <col min="1" max="1" width="8" style="4" customWidth="1"/>
    <col min="2" max="2" width="21.28515625" style="2" customWidth="1"/>
    <col min="3" max="3" width="14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402337</v>
      </c>
      <c r="B3" s="74" t="s">
        <v>108</v>
      </c>
      <c r="C3" s="9" t="s">
        <v>109</v>
      </c>
      <c r="D3" s="76" t="s">
        <v>142</v>
      </c>
      <c r="E3" s="13">
        <v>44506</v>
      </c>
      <c r="F3" s="76" t="s">
        <v>116</v>
      </c>
      <c r="G3" s="13">
        <v>44541</v>
      </c>
      <c r="H3" s="10" t="s">
        <v>117</v>
      </c>
      <c r="I3" s="1">
        <v>61</v>
      </c>
      <c r="J3" s="1">
        <v>40</v>
      </c>
      <c r="K3" s="1">
        <v>76</v>
      </c>
      <c r="L3" s="1">
        <v>31</v>
      </c>
      <c r="M3" s="80">
        <v>46.36</v>
      </c>
      <c r="N3" s="8">
        <v>47</v>
      </c>
      <c r="O3" s="64">
        <v>3000</v>
      </c>
      <c r="P3" s="65">
        <f>Table22457891011234567[[#This Row],[PEMBULATAN]]*O3</f>
        <v>141000</v>
      </c>
    </row>
    <row r="4" spans="1:16" ht="26.25" customHeight="1" x14ac:dyDescent="0.2">
      <c r="A4" s="14"/>
      <c r="B4" s="75"/>
      <c r="C4" s="9" t="s">
        <v>110</v>
      </c>
      <c r="D4" s="76" t="s">
        <v>142</v>
      </c>
      <c r="E4" s="13">
        <v>44506</v>
      </c>
      <c r="F4" s="76" t="s">
        <v>116</v>
      </c>
      <c r="G4" s="13">
        <v>44541</v>
      </c>
      <c r="H4" s="10" t="s">
        <v>117</v>
      </c>
      <c r="I4" s="1">
        <v>61</v>
      </c>
      <c r="J4" s="1">
        <v>40</v>
      </c>
      <c r="K4" s="1">
        <v>76</v>
      </c>
      <c r="L4" s="1">
        <v>31</v>
      </c>
      <c r="M4" s="80">
        <v>46.36</v>
      </c>
      <c r="N4" s="8">
        <v>47</v>
      </c>
      <c r="O4" s="64">
        <v>3000</v>
      </c>
      <c r="P4" s="65">
        <f>Table22457891011234567[[#This Row],[PEMBULATAN]]*O4</f>
        <v>141000</v>
      </c>
    </row>
    <row r="5" spans="1:16" ht="26.25" customHeight="1" x14ac:dyDescent="0.2">
      <c r="A5" s="14"/>
      <c r="B5" s="14"/>
      <c r="C5" s="9" t="s">
        <v>111</v>
      </c>
      <c r="D5" s="76" t="s">
        <v>142</v>
      </c>
      <c r="E5" s="13">
        <v>44506</v>
      </c>
      <c r="F5" s="76" t="s">
        <v>116</v>
      </c>
      <c r="G5" s="13">
        <v>44541</v>
      </c>
      <c r="H5" s="10" t="s">
        <v>117</v>
      </c>
      <c r="I5" s="1">
        <v>61</v>
      </c>
      <c r="J5" s="1">
        <v>40</v>
      </c>
      <c r="K5" s="1">
        <v>76</v>
      </c>
      <c r="L5" s="1">
        <v>31</v>
      </c>
      <c r="M5" s="80">
        <v>46.36</v>
      </c>
      <c r="N5" s="8">
        <v>47</v>
      </c>
      <c r="O5" s="64">
        <v>3000</v>
      </c>
      <c r="P5" s="65">
        <f>Table22457891011234567[[#This Row],[PEMBULATAN]]*O5</f>
        <v>141000</v>
      </c>
    </row>
    <row r="6" spans="1:16" ht="26.25" customHeight="1" x14ac:dyDescent="0.2">
      <c r="A6" s="14"/>
      <c r="B6" s="14"/>
      <c r="C6" s="73" t="s">
        <v>112</v>
      </c>
      <c r="D6" s="78" t="s">
        <v>142</v>
      </c>
      <c r="E6" s="13">
        <v>44506</v>
      </c>
      <c r="F6" s="76" t="s">
        <v>116</v>
      </c>
      <c r="G6" s="13">
        <v>44541</v>
      </c>
      <c r="H6" s="77" t="s">
        <v>117</v>
      </c>
      <c r="I6" s="16">
        <v>61</v>
      </c>
      <c r="J6" s="16">
        <v>40</v>
      </c>
      <c r="K6" s="16">
        <v>76</v>
      </c>
      <c r="L6" s="16">
        <v>31</v>
      </c>
      <c r="M6" s="81">
        <v>46.36</v>
      </c>
      <c r="N6" s="72">
        <v>47</v>
      </c>
      <c r="O6" s="64">
        <v>3000</v>
      </c>
      <c r="P6" s="65">
        <f>Table22457891011234567[[#This Row],[PEMBULATAN]]*O6</f>
        <v>141000</v>
      </c>
    </row>
    <row r="7" spans="1:16" ht="26.25" customHeight="1" x14ac:dyDescent="0.2">
      <c r="A7" s="14"/>
      <c r="B7" s="14"/>
      <c r="C7" s="73" t="s">
        <v>113</v>
      </c>
      <c r="D7" s="78" t="s">
        <v>142</v>
      </c>
      <c r="E7" s="13">
        <v>44506</v>
      </c>
      <c r="F7" s="76" t="s">
        <v>116</v>
      </c>
      <c r="G7" s="13">
        <v>44541</v>
      </c>
      <c r="H7" s="77" t="s">
        <v>117</v>
      </c>
      <c r="I7" s="16">
        <v>61</v>
      </c>
      <c r="J7" s="16">
        <v>40</v>
      </c>
      <c r="K7" s="16">
        <v>76</v>
      </c>
      <c r="L7" s="16">
        <v>31</v>
      </c>
      <c r="M7" s="81">
        <v>46.36</v>
      </c>
      <c r="N7" s="72">
        <v>47</v>
      </c>
      <c r="O7" s="64">
        <v>3000</v>
      </c>
      <c r="P7" s="65">
        <f>Table22457891011234567[[#This Row],[PEMBULATAN]]*O7</f>
        <v>141000</v>
      </c>
    </row>
    <row r="8" spans="1:16" ht="26.25" customHeight="1" x14ac:dyDescent="0.2">
      <c r="A8" s="14"/>
      <c r="B8" s="14"/>
      <c r="C8" s="73" t="s">
        <v>114</v>
      </c>
      <c r="D8" s="78" t="s">
        <v>142</v>
      </c>
      <c r="E8" s="13">
        <v>44506</v>
      </c>
      <c r="F8" s="76" t="s">
        <v>116</v>
      </c>
      <c r="G8" s="13">
        <v>44541</v>
      </c>
      <c r="H8" s="77" t="s">
        <v>117</v>
      </c>
      <c r="I8" s="16">
        <v>61</v>
      </c>
      <c r="J8" s="16">
        <v>40</v>
      </c>
      <c r="K8" s="16">
        <v>76</v>
      </c>
      <c r="L8" s="16">
        <v>31</v>
      </c>
      <c r="M8" s="81">
        <v>46.36</v>
      </c>
      <c r="N8" s="72">
        <v>47</v>
      </c>
      <c r="O8" s="64">
        <v>3000</v>
      </c>
      <c r="P8" s="65">
        <f>Table22457891011234567[[#This Row],[PEMBULATAN]]*O8</f>
        <v>141000</v>
      </c>
    </row>
    <row r="9" spans="1:16" ht="26.25" customHeight="1" x14ac:dyDescent="0.2">
      <c r="A9" s="14"/>
      <c r="B9" s="14"/>
      <c r="C9" s="73" t="s">
        <v>115</v>
      </c>
      <c r="D9" s="78" t="s">
        <v>142</v>
      </c>
      <c r="E9" s="13">
        <v>44506</v>
      </c>
      <c r="F9" s="76" t="s">
        <v>116</v>
      </c>
      <c r="G9" s="13">
        <v>44541</v>
      </c>
      <c r="H9" s="77" t="s">
        <v>117</v>
      </c>
      <c r="I9" s="16">
        <v>61</v>
      </c>
      <c r="J9" s="16">
        <v>40</v>
      </c>
      <c r="K9" s="16">
        <v>76</v>
      </c>
      <c r="L9" s="16">
        <v>31</v>
      </c>
      <c r="M9" s="81">
        <v>46.36</v>
      </c>
      <c r="N9" s="72">
        <v>47</v>
      </c>
      <c r="O9" s="64">
        <v>3000</v>
      </c>
      <c r="P9" s="65">
        <f>Table22457891011234567[[#This Row],[PEMBULATAN]]*O9</f>
        <v>141000</v>
      </c>
    </row>
    <row r="10" spans="1:16" ht="22.5" customHeight="1" x14ac:dyDescent="0.2">
      <c r="A10" s="114" t="s">
        <v>30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M10" s="79">
        <f>SUBTOTAL(109,Table22457891011234567[KG VOLUME])</f>
        <v>324.52000000000004</v>
      </c>
      <c r="N10" s="68">
        <f>SUM(N3:N9)</f>
        <v>329</v>
      </c>
      <c r="O10" s="117">
        <f>SUM(P3:P9)</f>
        <v>987000</v>
      </c>
      <c r="P10" s="118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98700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888300</v>
      </c>
    </row>
    <row r="13" spans="1:16" ht="18" customHeight="1" x14ac:dyDescent="0.2">
      <c r="A13" s="11"/>
      <c r="H13" s="63"/>
      <c r="N13" s="62" t="s">
        <v>31</v>
      </c>
      <c r="P13" s="69">
        <f>P12*1%</f>
        <v>8883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17766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879417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186" priority="2"/>
  </conditionalFormatting>
  <conditionalFormatting sqref="B4">
    <cfRule type="duplicateValues" dxfId="185" priority="1"/>
  </conditionalFormatting>
  <conditionalFormatting sqref="B5:B9">
    <cfRule type="duplicateValues" dxfId="184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402341</v>
      </c>
      <c r="B3" s="74" t="s">
        <v>118</v>
      </c>
      <c r="C3" s="9" t="s">
        <v>119</v>
      </c>
      <c r="D3" s="76" t="s">
        <v>142</v>
      </c>
      <c r="E3" s="13">
        <v>44507</v>
      </c>
      <c r="F3" s="76" t="s">
        <v>116</v>
      </c>
      <c r="G3" s="13">
        <v>44541</v>
      </c>
      <c r="H3" s="10" t="s">
        <v>117</v>
      </c>
      <c r="I3" s="1">
        <v>61</v>
      </c>
      <c r="J3" s="1">
        <v>40</v>
      </c>
      <c r="K3" s="1">
        <v>75</v>
      </c>
      <c r="L3" s="1">
        <v>31</v>
      </c>
      <c r="M3" s="80">
        <v>45.75</v>
      </c>
      <c r="N3" s="96">
        <v>45.75</v>
      </c>
      <c r="O3" s="64">
        <v>3000</v>
      </c>
      <c r="P3" s="65">
        <f>Table224578910112345678[[#This Row],[PEMBULATAN]]*O3</f>
        <v>137250</v>
      </c>
    </row>
    <row r="4" spans="1:16" ht="26.25" customHeight="1" x14ac:dyDescent="0.2">
      <c r="A4" s="14"/>
      <c r="B4" s="75"/>
      <c r="C4" s="9" t="s">
        <v>120</v>
      </c>
      <c r="D4" s="76" t="s">
        <v>142</v>
      </c>
      <c r="E4" s="13">
        <v>44507</v>
      </c>
      <c r="F4" s="76" t="s">
        <v>116</v>
      </c>
      <c r="G4" s="13">
        <v>44541</v>
      </c>
      <c r="H4" s="10" t="s">
        <v>117</v>
      </c>
      <c r="I4" s="1">
        <v>61</v>
      </c>
      <c r="J4" s="1">
        <v>40</v>
      </c>
      <c r="K4" s="1">
        <v>75</v>
      </c>
      <c r="L4" s="1">
        <v>31</v>
      </c>
      <c r="M4" s="80">
        <v>45.75</v>
      </c>
      <c r="N4" s="96">
        <v>45.75</v>
      </c>
      <c r="O4" s="64">
        <v>3000</v>
      </c>
      <c r="P4" s="65">
        <f>Table224578910112345678[[#This Row],[PEMBULATAN]]*O4</f>
        <v>137250</v>
      </c>
    </row>
    <row r="5" spans="1:16" ht="26.25" customHeight="1" x14ac:dyDescent="0.2">
      <c r="A5" s="14"/>
      <c r="B5" s="14"/>
      <c r="C5" s="9" t="s">
        <v>121</v>
      </c>
      <c r="D5" s="76" t="s">
        <v>142</v>
      </c>
      <c r="E5" s="13">
        <v>44507</v>
      </c>
      <c r="F5" s="76" t="s">
        <v>116</v>
      </c>
      <c r="G5" s="13">
        <v>44541</v>
      </c>
      <c r="H5" s="10" t="s">
        <v>117</v>
      </c>
      <c r="I5" s="1">
        <v>61</v>
      </c>
      <c r="J5" s="1">
        <v>40</v>
      </c>
      <c r="K5" s="1">
        <v>75</v>
      </c>
      <c r="L5" s="1">
        <v>31</v>
      </c>
      <c r="M5" s="80">
        <v>45.75</v>
      </c>
      <c r="N5" s="96">
        <v>45.75</v>
      </c>
      <c r="O5" s="64">
        <v>3000</v>
      </c>
      <c r="P5" s="65">
        <f>Table224578910112345678[[#This Row],[PEMBULATAN]]*O5</f>
        <v>137250</v>
      </c>
    </row>
    <row r="6" spans="1:16" ht="26.25" customHeight="1" x14ac:dyDescent="0.2">
      <c r="A6" s="14"/>
      <c r="B6" s="14"/>
      <c r="C6" s="73" t="s">
        <v>122</v>
      </c>
      <c r="D6" s="78" t="s">
        <v>142</v>
      </c>
      <c r="E6" s="13">
        <v>44507</v>
      </c>
      <c r="F6" s="76" t="s">
        <v>116</v>
      </c>
      <c r="G6" s="13">
        <v>44541</v>
      </c>
      <c r="H6" s="77" t="s">
        <v>117</v>
      </c>
      <c r="I6" s="16">
        <v>61</v>
      </c>
      <c r="J6" s="16">
        <v>40</v>
      </c>
      <c r="K6" s="16">
        <v>75</v>
      </c>
      <c r="L6" s="16">
        <v>31</v>
      </c>
      <c r="M6" s="81">
        <v>45.75</v>
      </c>
      <c r="N6" s="96">
        <v>45.75</v>
      </c>
      <c r="O6" s="64">
        <v>3000</v>
      </c>
      <c r="P6" s="65">
        <f>Table224578910112345678[[#This Row],[PEMBULATAN]]*O6</f>
        <v>137250</v>
      </c>
    </row>
    <row r="7" spans="1:16" ht="26.25" customHeight="1" x14ac:dyDescent="0.2">
      <c r="A7" s="14"/>
      <c r="B7" s="14"/>
      <c r="C7" s="73" t="s">
        <v>123</v>
      </c>
      <c r="D7" s="78" t="s">
        <v>142</v>
      </c>
      <c r="E7" s="13">
        <v>44507</v>
      </c>
      <c r="F7" s="76" t="s">
        <v>116</v>
      </c>
      <c r="G7" s="13">
        <v>44541</v>
      </c>
      <c r="H7" s="77" t="s">
        <v>117</v>
      </c>
      <c r="I7" s="16">
        <v>61</v>
      </c>
      <c r="J7" s="16">
        <v>40</v>
      </c>
      <c r="K7" s="16">
        <v>75</v>
      </c>
      <c r="L7" s="16">
        <v>31</v>
      </c>
      <c r="M7" s="81">
        <v>45.75</v>
      </c>
      <c r="N7" s="96">
        <v>45.75</v>
      </c>
      <c r="O7" s="64">
        <v>3000</v>
      </c>
      <c r="P7" s="65">
        <f>Table224578910112345678[[#This Row],[PEMBULATAN]]*O7</f>
        <v>137250</v>
      </c>
    </row>
    <row r="8" spans="1:16" ht="22.5" customHeight="1" x14ac:dyDescent="0.2">
      <c r="A8" s="114" t="s">
        <v>30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6"/>
      <c r="M8" s="79">
        <f>SUBTOTAL(109,Table224578910112345678[KG VOLUME])</f>
        <v>228.75</v>
      </c>
      <c r="N8" s="68">
        <f>SUM(N3:N7)</f>
        <v>228.75</v>
      </c>
      <c r="O8" s="117">
        <f>SUM(P3:P7)</f>
        <v>686250</v>
      </c>
      <c r="P8" s="118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68625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617625</v>
      </c>
    </row>
    <row r="11" spans="1:16" ht="18" customHeight="1" x14ac:dyDescent="0.2">
      <c r="A11" s="11"/>
      <c r="H11" s="63"/>
      <c r="N11" s="62" t="s">
        <v>31</v>
      </c>
      <c r="P11" s="69">
        <f>P10*1%</f>
        <v>6176.25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12352.5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611448.75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68" priority="2"/>
  </conditionalFormatting>
  <conditionalFormatting sqref="B4">
    <cfRule type="duplicateValues" dxfId="167" priority="1"/>
  </conditionalFormatting>
  <conditionalFormatting sqref="B5:B7">
    <cfRule type="duplicateValues" dxfId="166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402345</v>
      </c>
      <c r="B3" s="74" t="s">
        <v>124</v>
      </c>
      <c r="C3" s="9" t="s">
        <v>125</v>
      </c>
      <c r="D3" s="76" t="s">
        <v>142</v>
      </c>
      <c r="E3" s="13">
        <v>44508</v>
      </c>
      <c r="F3" s="76" t="s">
        <v>116</v>
      </c>
      <c r="G3" s="13">
        <v>44541</v>
      </c>
      <c r="H3" s="10" t="s">
        <v>117</v>
      </c>
      <c r="I3" s="1">
        <v>63</v>
      </c>
      <c r="J3" s="1">
        <v>41</v>
      </c>
      <c r="K3" s="1">
        <v>76</v>
      </c>
      <c r="L3" s="1">
        <v>31</v>
      </c>
      <c r="M3" s="80">
        <v>49.076999999999998</v>
      </c>
      <c r="N3" s="96">
        <v>49.076999999999998</v>
      </c>
      <c r="O3" s="64">
        <v>3000</v>
      </c>
      <c r="P3" s="65">
        <f>Table2245789101123456789[[#This Row],[PEMBULATAN]]*O3</f>
        <v>147231</v>
      </c>
    </row>
    <row r="4" spans="1:16" ht="26.25" customHeight="1" x14ac:dyDescent="0.2">
      <c r="A4" s="14"/>
      <c r="B4" s="75"/>
      <c r="C4" s="9" t="s">
        <v>126</v>
      </c>
      <c r="D4" s="76" t="s">
        <v>142</v>
      </c>
      <c r="E4" s="13">
        <v>44508</v>
      </c>
      <c r="F4" s="76" t="s">
        <v>116</v>
      </c>
      <c r="G4" s="13">
        <v>44541</v>
      </c>
      <c r="H4" s="10" t="s">
        <v>117</v>
      </c>
      <c r="I4" s="1">
        <v>63</v>
      </c>
      <c r="J4" s="1">
        <v>41</v>
      </c>
      <c r="K4" s="1">
        <v>76</v>
      </c>
      <c r="L4" s="1">
        <v>31</v>
      </c>
      <c r="M4" s="80">
        <v>49.076999999999998</v>
      </c>
      <c r="N4" s="96">
        <v>49.076999999999998</v>
      </c>
      <c r="O4" s="64">
        <v>3000</v>
      </c>
      <c r="P4" s="65">
        <f>Table2245789101123456789[[#This Row],[PEMBULATAN]]*O4</f>
        <v>147231</v>
      </c>
    </row>
    <row r="5" spans="1:16" ht="22.5" customHeight="1" x14ac:dyDescent="0.2">
      <c r="A5" s="114" t="s">
        <v>30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  <c r="M5" s="79">
        <f>SUBTOTAL(109,Table2245789101123456789[KG VOLUME])</f>
        <v>98.153999999999996</v>
      </c>
      <c r="N5" s="68">
        <f>SUM(N3:N4)</f>
        <v>98.153999999999996</v>
      </c>
      <c r="O5" s="117">
        <f>SUM(P3:P4)</f>
        <v>294462</v>
      </c>
      <c r="P5" s="118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29446.2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265015.8</v>
      </c>
    </row>
    <row r="8" spans="1:16" ht="18" customHeight="1" x14ac:dyDescent="0.2">
      <c r="A8" s="11"/>
      <c r="H8" s="63"/>
      <c r="N8" s="62" t="s">
        <v>31</v>
      </c>
      <c r="P8" s="69">
        <f>P7*1%</f>
        <v>2650.1579999999999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5300.3159999999998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262365.64199999999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50" priority="2"/>
  </conditionalFormatting>
  <conditionalFormatting sqref="B4">
    <cfRule type="duplicateValues" dxfId="14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055_Sicepat_TJQ</vt:lpstr>
      <vt:lpstr>402445</vt:lpstr>
      <vt:lpstr>402318</vt:lpstr>
      <vt:lpstr>402322</vt:lpstr>
      <vt:lpstr>402329</vt:lpstr>
      <vt:lpstr>402333</vt:lpstr>
      <vt:lpstr>402337</vt:lpstr>
      <vt:lpstr>402341</vt:lpstr>
      <vt:lpstr>402345</vt:lpstr>
      <vt:lpstr>403868</vt:lpstr>
      <vt:lpstr>403879</vt:lpstr>
      <vt:lpstr>403885</vt:lpstr>
      <vt:lpstr>403900</vt:lpstr>
      <vt:lpstr>406076</vt:lpstr>
      <vt:lpstr>403715</vt:lpstr>
      <vt:lpstr>403733</vt:lpstr>
      <vt:lpstr>403740</vt:lpstr>
      <vt:lpstr>'055_Sicepat_TJQ'!Print_Titles</vt:lpstr>
      <vt:lpstr>'402318'!Print_Titles</vt:lpstr>
      <vt:lpstr>'402322'!Print_Titles</vt:lpstr>
      <vt:lpstr>'402329'!Print_Titles</vt:lpstr>
      <vt:lpstr>'402333'!Print_Titles</vt:lpstr>
      <vt:lpstr>'402337'!Print_Titles</vt:lpstr>
      <vt:lpstr>'402341'!Print_Titles</vt:lpstr>
      <vt:lpstr>'402345'!Print_Titles</vt:lpstr>
      <vt:lpstr>'402445'!Print_Titles</vt:lpstr>
      <vt:lpstr>'403715'!Print_Titles</vt:lpstr>
      <vt:lpstr>'403733'!Print_Titles</vt:lpstr>
      <vt:lpstr>'403740'!Print_Titles</vt:lpstr>
      <vt:lpstr>'403868'!Print_Titles</vt:lpstr>
      <vt:lpstr>'403879'!Print_Titles</vt:lpstr>
      <vt:lpstr>'403885'!Print_Titles</vt:lpstr>
      <vt:lpstr>'403900'!Print_Titles</vt:lpstr>
      <vt:lpstr>'406076'!Print_Titles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2022-01-17T07:29:11Z</cp:lastPrinted>
  <dcterms:created xsi:type="dcterms:W3CDTF">2021-07-02T11:08:00Z</dcterms:created>
  <dcterms:modified xsi:type="dcterms:W3CDTF">2022-01-17T08:47:38Z</dcterms:modified>
</cp:coreProperties>
</file>